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3.xml" ContentType="application/vnd.openxmlformats-officedocument.drawingml.chartshapes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4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5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6.xml" ContentType="application/vnd.openxmlformats-officedocument.drawing+xml"/>
  <Override PartName="/xl/charts/chart19.xml" ContentType="application/vnd.openxmlformats-officedocument.drawingml.chart+xml"/>
  <Override PartName="/xl/comments1.xml" ContentType="application/vnd.openxmlformats-officedocument.spreadsheetml.comments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dumma10\Desktop\"/>
    </mc:Choice>
  </mc:AlternateContent>
  <bookViews>
    <workbookView xWindow="0" yWindow="0" windowWidth="28800" windowHeight="12440" tabRatio="851" firstSheet="8" activeTab="13"/>
  </bookViews>
  <sheets>
    <sheet name="INTRO" sheetId="71" r:id="rId1"/>
    <sheet name="Sommaire" sheetId="64" r:id="rId2"/>
    <sheet name="GES COLLECTIFS" sheetId="30" r:id="rId3"/>
    <sheet name="Résidentiel" sheetId="13" r:id="rId4"/>
    <sheet name="CI" sheetId="15" r:id="rId5"/>
    <sheet name="Industriel" sheetId="14" r:id="rId6"/>
    <sheet name="Transports - routier" sheetId="17" r:id="rId7"/>
    <sheet name="Transports - hors route" sheetId="62" r:id="rId8"/>
    <sheet name="Matières résiduelles - DMS" sheetId="65" r:id="rId9"/>
    <sheet name="Agricole" sheetId="68" r:id="rId10"/>
    <sheet name="Eaux usées" sheetId="24" r:id="rId11"/>
    <sheet name="Halocarbures et al" sheetId="69" r:id="rId12"/>
    <sheet name="Coefficients d'émissions" sheetId="2" r:id="rId13"/>
    <sheet name="PRP" sheetId="73" r:id="rId14"/>
    <sheet name="RIN-2017" sheetId="59" r:id="rId15"/>
  </sheets>
  <externalReferences>
    <externalReference r:id="rId16"/>
    <externalReference r:id="rId17"/>
    <externalReference r:id="rId18"/>
  </externalReferences>
  <definedNames>
    <definedName name="dieselch4" localSheetId="8">'[1]Coefficients d''émissions'!$D$5</definedName>
    <definedName name="dieselch4">'Coefficients d''émissions'!$D$5</definedName>
    <definedName name="dieselco2" localSheetId="8">'[1]Coefficients d''émissions'!$C$5</definedName>
    <definedName name="dieselco2">'Coefficients d''émissions'!$C$5</definedName>
    <definedName name="dieseln2o" localSheetId="8">'[1]Coefficients d''émissions'!$E$5</definedName>
    <definedName name="dieseln2o">'Coefficients d''émissions'!$E$5</definedName>
    <definedName name="electch4" localSheetId="8">'[1]Coefficients d''émissions'!$D$6</definedName>
    <definedName name="electch4">'Coefficients d''émissions'!$D$7</definedName>
    <definedName name="electco2" localSheetId="8">'[1]Coefficients d''émissions'!$C$6</definedName>
    <definedName name="electco2">'Coefficients d''émissions'!$C$7</definedName>
    <definedName name="electn2o" localSheetId="8">'[1]Coefficients d''émissions'!$E$6</definedName>
    <definedName name="electn2o">'Coefficients d''émissions'!$E$7</definedName>
    <definedName name="fueloilco2" localSheetId="8">'[1]Coefficients d''émissions'!#REF!</definedName>
    <definedName name="fueloilco2" localSheetId="1">'Coefficients d''émissions'!#REF!</definedName>
    <definedName name="fueloilco2" localSheetId="7">'Coefficients d''émissions'!#REF!</definedName>
    <definedName name="fueloilco2">'Coefficients d''émissions'!#REF!</definedName>
    <definedName name="listevéhicule" localSheetId="8">'[1]Coefficients d''émissions'!$A$13:$A$35</definedName>
    <definedName name="listevéhicule">'Coefficients d''émissions'!$A$14:$A$36</definedName>
    <definedName name="natgasch4" localSheetId="8">'[1]Coefficients d''émissions'!$E$10</definedName>
    <definedName name="natgasch4">'Coefficients d''émissions'!$E$11</definedName>
    <definedName name="natgasco2" localSheetId="8">'[1]Coefficients d''émissions'!$C$10</definedName>
    <definedName name="natgasco2">'Coefficients d''émissions'!$C$11</definedName>
    <definedName name="natgasn2o" localSheetId="8">'[1]Coefficients d''émissions'!$D$10</definedName>
    <definedName name="natgasn2o">'Coefficients d''émissions'!$D$11</definedName>
    <definedName name="natgasnch4">'Coefficients d''émissions'!$D$11</definedName>
    <definedName name="oil6ch4">'Coefficients d''émissions'!$D$9</definedName>
    <definedName name="oil6co2">'Coefficients d''émissions'!$C$9</definedName>
    <definedName name="oilch4" localSheetId="8">'[1]Coefficients d''émissions'!$D$7</definedName>
    <definedName name="oilch4">'Coefficients d''émissions'!$D$8</definedName>
    <definedName name="oilco2" localSheetId="8">'[1]Coefficients d''émissions'!$C$7</definedName>
    <definedName name="oilco2">'Coefficients d''émissions'!$C$8</definedName>
    <definedName name="oiln2o" localSheetId="8">'[1]Coefficients d''émissions'!$E$7</definedName>
    <definedName name="oiln2o">'Coefficients d''émissions'!$E$8</definedName>
    <definedName name="propanech4">'Coefficients d''émissions'!$D$12</definedName>
    <definedName name="propaneco2">'Coefficients d''émissions'!$C$12</definedName>
    <definedName name="propanen2o">'Coefficients d''émissions'!$E$12</definedName>
    <definedName name="PRPCH4" localSheetId="8">'[1]Coefficients d''émissions'!$C$38</definedName>
    <definedName name="PRPCH4">PRP!$E$5</definedName>
    <definedName name="PRPN2O" localSheetId="8">'[1]Coefficients d''émissions'!$C$39</definedName>
    <definedName name="PRPN2O">PRP!$E$6</definedName>
    <definedName name="Référence" localSheetId="13">'[2]Menu déroulant'!$A$1:$A$9</definedName>
    <definedName name="Référence">'[3]Menu déroulant'!$A$1:$A$9</definedName>
    <definedName name="_xlnm.Print_Area" localSheetId="12">'Coefficients d''émissions'!$A$1:$H$61</definedName>
    <definedName name="_xlnm.Print_Area" localSheetId="10">'Eaux usées'!#REF!</definedName>
    <definedName name="_xlnm.Print_Area" localSheetId="2">'GES COLLECTIFS'!$A$2:$M$34</definedName>
    <definedName name="_xlnm.Print_Area" localSheetId="8">'Matières résiduelles - DMS'!$A$1:$L$2</definedName>
    <definedName name="_xlnm.Print_Area" localSheetId="3">Résidentiel!$A$1:$I$46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I62" i="59" l="1"/>
  <c r="I63" i="59"/>
  <c r="I64" i="59"/>
  <c r="I61" i="59"/>
  <c r="I60" i="59" s="1"/>
  <c r="I59" i="59"/>
  <c r="I58" i="59"/>
  <c r="I57" i="59"/>
  <c r="I56" i="59"/>
  <c r="I54" i="59"/>
  <c r="I55" i="59"/>
  <c r="I53" i="59"/>
  <c r="I51" i="59"/>
  <c r="I50" i="59"/>
  <c r="I49" i="59"/>
  <c r="I47" i="59"/>
  <c r="I48" i="59"/>
  <c r="I46" i="59"/>
  <c r="I44" i="59"/>
  <c r="I43" i="59"/>
  <c r="I42" i="59"/>
  <c r="I41" i="59"/>
  <c r="I40" i="59"/>
  <c r="I39" i="59"/>
  <c r="I37" i="59"/>
  <c r="I35" i="59"/>
  <c r="I29" i="59"/>
  <c r="I30" i="59"/>
  <c r="I31" i="59"/>
  <c r="I32" i="59"/>
  <c r="I33" i="59"/>
  <c r="I34" i="59"/>
  <c r="I22" i="59"/>
  <c r="I23" i="59"/>
  <c r="I24" i="59"/>
  <c r="I25" i="59"/>
  <c r="I26" i="59"/>
  <c r="I27" i="59"/>
  <c r="I28" i="59"/>
  <c r="I21" i="59"/>
  <c r="I20" i="59"/>
  <c r="I19" i="59"/>
  <c r="I18" i="59"/>
  <c r="I11" i="59"/>
  <c r="I12" i="59"/>
  <c r="I13" i="59"/>
  <c r="I14" i="59"/>
  <c r="I15" i="59"/>
  <c r="I16" i="59"/>
  <c r="I17" i="59"/>
  <c r="I10" i="59"/>
  <c r="I9" i="59"/>
  <c r="G76" i="17"/>
  <c r="G77" i="17"/>
  <c r="G78" i="17"/>
  <c r="G79" i="17"/>
  <c r="G75" i="17"/>
  <c r="G302" i="15"/>
  <c r="G303" i="15"/>
  <c r="G304" i="15"/>
  <c r="G305" i="15"/>
  <c r="G301" i="15"/>
  <c r="G206" i="13"/>
  <c r="G203" i="13"/>
  <c r="B48" i="65"/>
  <c r="D17" i="65" s="1"/>
  <c r="D16" i="65" s="1"/>
  <c r="B49" i="65"/>
  <c r="D29" i="65" s="1"/>
  <c r="D30" i="65" s="1"/>
  <c r="D31" i="65" s="1"/>
  <c r="D32" i="65" s="1"/>
  <c r="D33" i="65" s="1"/>
  <c r="B60" i="65"/>
  <c r="C60" i="65"/>
  <c r="D60" i="65" s="1"/>
  <c r="B61" i="65"/>
  <c r="D61" i="65"/>
  <c r="B62" i="65"/>
  <c r="G62" i="65" s="1"/>
  <c r="C62" i="65"/>
  <c r="D62" i="65" s="1"/>
  <c r="B63" i="65"/>
  <c r="D63" i="65"/>
  <c r="B64" i="65"/>
  <c r="D64" i="65"/>
  <c r="B65" i="65"/>
  <c r="D65" i="65"/>
  <c r="B66" i="65"/>
  <c r="D66" i="65"/>
  <c r="B67" i="65"/>
  <c r="D67" i="65"/>
  <c r="B68" i="65"/>
  <c r="D68" i="65"/>
  <c r="B69" i="65"/>
  <c r="D69" i="65"/>
  <c r="B70" i="65"/>
  <c r="F70" i="65" s="1"/>
  <c r="B71" i="65"/>
  <c r="G71" i="65" s="1"/>
  <c r="I52" i="59" l="1"/>
  <c r="I45" i="59"/>
  <c r="I38" i="59" s="1"/>
  <c r="F71" i="65"/>
  <c r="F69" i="65"/>
  <c r="F67" i="65"/>
  <c r="F65" i="65"/>
  <c r="F63" i="65"/>
  <c r="F61" i="65"/>
  <c r="F60" i="65"/>
  <c r="F68" i="65"/>
  <c r="F66" i="65"/>
  <c r="F64" i="65"/>
  <c r="G60" i="65"/>
  <c r="F62" i="65"/>
  <c r="G69" i="65"/>
  <c r="G68" i="65"/>
  <c r="G67" i="65"/>
  <c r="G66" i="65"/>
  <c r="G65" i="65"/>
  <c r="G64" i="65"/>
  <c r="G63" i="65"/>
  <c r="G70" i="65"/>
  <c r="G61" i="65"/>
  <c r="C109" i="68"/>
  <c r="C110" i="68"/>
  <c r="C111" i="68"/>
  <c r="C112" i="68"/>
  <c r="C113" i="68"/>
  <c r="C114" i="68"/>
  <c r="C115" i="68"/>
  <c r="C116" i="68"/>
  <c r="C117" i="68"/>
  <c r="C118" i="68"/>
  <c r="C119" i="68"/>
  <c r="C120" i="68"/>
  <c r="C121" i="68"/>
  <c r="C122" i="68"/>
  <c r="C123" i="68"/>
  <c r="C124" i="68"/>
  <c r="C125" i="68"/>
  <c r="C126" i="68"/>
  <c r="C127" i="68"/>
  <c r="C128" i="68"/>
  <c r="C129" i="68"/>
  <c r="C130" i="68"/>
  <c r="C131" i="68"/>
  <c r="C132" i="68"/>
  <c r="C133" i="68"/>
  <c r="C134" i="68"/>
  <c r="C135" i="68"/>
  <c r="C108" i="68"/>
  <c r="C87" i="68"/>
  <c r="C88" i="68"/>
  <c r="C89" i="68"/>
  <c r="C80" i="68"/>
  <c r="C81" i="68"/>
  <c r="C82" i="68"/>
  <c r="C83" i="68"/>
  <c r="C84" i="68"/>
  <c r="C85" i="68"/>
  <c r="C86" i="68"/>
  <c r="C71" i="68"/>
  <c r="C72" i="68"/>
  <c r="C73" i="68"/>
  <c r="C74" i="68"/>
  <c r="C75" i="68"/>
  <c r="C76" i="68"/>
  <c r="C77" i="68"/>
  <c r="C78" i="68"/>
  <c r="C79" i="68"/>
  <c r="C63" i="68"/>
  <c r="C64" i="68"/>
  <c r="C65" i="68"/>
  <c r="C66" i="68"/>
  <c r="C67" i="68"/>
  <c r="C68" i="68"/>
  <c r="C69" i="68"/>
  <c r="C70" i="68"/>
  <c r="C62" i="68"/>
  <c r="B55" i="65" l="1"/>
  <c r="B54" i="65"/>
  <c r="E109" i="68"/>
  <c r="E110" i="68"/>
  <c r="E111" i="68"/>
  <c r="E112" i="68"/>
  <c r="E113" i="68"/>
  <c r="E114" i="68"/>
  <c r="E115" i="68"/>
  <c r="E116" i="68"/>
  <c r="E117" i="68"/>
  <c r="E118" i="68"/>
  <c r="E119" i="68"/>
  <c r="E120" i="68"/>
  <c r="E121" i="68"/>
  <c r="E122" i="68"/>
  <c r="E123" i="68"/>
  <c r="E124" i="68"/>
  <c r="E125" i="68"/>
  <c r="E126" i="68"/>
  <c r="E127" i="68"/>
  <c r="E128" i="68"/>
  <c r="E129" i="68"/>
  <c r="E130" i="68"/>
  <c r="E131" i="68"/>
  <c r="E132" i="68"/>
  <c r="E133" i="68"/>
  <c r="E134" i="68"/>
  <c r="E135" i="68"/>
  <c r="E108" i="68"/>
  <c r="D124" i="68"/>
  <c r="D125" i="68"/>
  <c r="D126" i="68"/>
  <c r="D127" i="68"/>
  <c r="D128" i="68"/>
  <c r="D129" i="68"/>
  <c r="D130" i="68"/>
  <c r="D131" i="68"/>
  <c r="D132" i="68"/>
  <c r="D133" i="68"/>
  <c r="D134" i="68"/>
  <c r="D135" i="68"/>
  <c r="D117" i="68"/>
  <c r="D118" i="68"/>
  <c r="D119" i="68"/>
  <c r="D120" i="68"/>
  <c r="D121" i="68"/>
  <c r="D122" i="68"/>
  <c r="D123" i="68"/>
  <c r="D111" i="68"/>
  <c r="D112" i="68"/>
  <c r="D113" i="68"/>
  <c r="D114" i="68"/>
  <c r="D115" i="68"/>
  <c r="D116" i="68"/>
  <c r="D109" i="68"/>
  <c r="D110" i="68"/>
  <c r="D108" i="68"/>
  <c r="D150" i="68"/>
  <c r="G134" i="68" l="1"/>
  <c r="G130" i="68"/>
  <c r="G126" i="68"/>
  <c r="G122" i="68"/>
  <c r="G118" i="68"/>
  <c r="G114" i="68"/>
  <c r="G110" i="68"/>
  <c r="G133" i="68"/>
  <c r="G129" i="68"/>
  <c r="G125" i="68"/>
  <c r="G121" i="68"/>
  <c r="G117" i="68"/>
  <c r="G113" i="68"/>
  <c r="G109" i="68"/>
  <c r="G108" i="68"/>
  <c r="G132" i="68"/>
  <c r="G128" i="68"/>
  <c r="G124" i="68"/>
  <c r="G120" i="68"/>
  <c r="G116" i="68"/>
  <c r="G112" i="68"/>
  <c r="G135" i="68"/>
  <c r="G131" i="68"/>
  <c r="G127" i="68"/>
  <c r="G123" i="68"/>
  <c r="G119" i="68"/>
  <c r="G115" i="68"/>
  <c r="G111" i="68"/>
  <c r="Y63" i="68"/>
  <c r="Y64" i="68"/>
  <c r="Y65" i="68"/>
  <c r="Y66" i="68"/>
  <c r="Y67" i="68"/>
  <c r="Y68" i="68"/>
  <c r="Y69" i="68"/>
  <c r="Y70" i="68"/>
  <c r="Y71" i="68"/>
  <c r="Y72" i="68"/>
  <c r="Y73" i="68"/>
  <c r="Y74" i="68"/>
  <c r="Y75" i="68"/>
  <c r="Y76" i="68"/>
  <c r="Y77" i="68"/>
  <c r="Y78" i="68"/>
  <c r="Y79" i="68"/>
  <c r="Y80" i="68"/>
  <c r="Y81" i="68"/>
  <c r="Y82" i="68"/>
  <c r="Y83" i="68"/>
  <c r="Y84" i="68"/>
  <c r="Y85" i="68"/>
  <c r="Y86" i="68"/>
  <c r="Y87" i="68"/>
  <c r="Y88" i="68"/>
  <c r="Y89" i="68"/>
  <c r="Y62" i="68"/>
  <c r="T64" i="68"/>
  <c r="T63" i="68"/>
  <c r="T65" i="68"/>
  <c r="T66" i="68"/>
  <c r="T67" i="68"/>
  <c r="T68" i="68"/>
  <c r="T69" i="68"/>
  <c r="T70" i="68"/>
  <c r="T71" i="68"/>
  <c r="T72" i="68"/>
  <c r="T73" i="68"/>
  <c r="T74" i="68"/>
  <c r="T75" i="68"/>
  <c r="T76" i="68"/>
  <c r="T77" i="68"/>
  <c r="T78" i="68"/>
  <c r="T79" i="68"/>
  <c r="T80" i="68"/>
  <c r="T81" i="68"/>
  <c r="T82" i="68"/>
  <c r="T83" i="68"/>
  <c r="T84" i="68"/>
  <c r="T85" i="68"/>
  <c r="T86" i="68"/>
  <c r="T87" i="68"/>
  <c r="T88" i="68"/>
  <c r="T89" i="68"/>
  <c r="T62" i="68"/>
  <c r="G136" i="68" l="1"/>
  <c r="Y90" i="68"/>
  <c r="T90" i="68"/>
  <c r="D143" i="68" l="1"/>
  <c r="G143" i="68" s="1"/>
  <c r="B172" i="68"/>
  <c r="B179" i="68"/>
  <c r="B186" i="68" s="1"/>
  <c r="O66" i="68" l="1"/>
  <c r="O63" i="68"/>
  <c r="O64" i="68"/>
  <c r="O65" i="68"/>
  <c r="O67" i="68"/>
  <c r="O68" i="68"/>
  <c r="O69" i="68"/>
  <c r="O70" i="68"/>
  <c r="O71" i="68"/>
  <c r="O72" i="68"/>
  <c r="O73" i="68"/>
  <c r="O74" i="68"/>
  <c r="O75" i="68"/>
  <c r="O76" i="68"/>
  <c r="O77" i="68"/>
  <c r="O78" i="68"/>
  <c r="O79" i="68"/>
  <c r="O80" i="68"/>
  <c r="O81" i="68"/>
  <c r="O82" i="68"/>
  <c r="O83" i="68"/>
  <c r="O84" i="68"/>
  <c r="O85" i="68"/>
  <c r="O86" i="68"/>
  <c r="O87" i="68"/>
  <c r="O88" i="68"/>
  <c r="O89" i="68"/>
  <c r="O62" i="68"/>
  <c r="E86" i="68"/>
  <c r="E70" i="68"/>
  <c r="E71" i="68"/>
  <c r="E72" i="68"/>
  <c r="E73" i="68"/>
  <c r="E74" i="68"/>
  <c r="E75" i="68"/>
  <c r="E76" i="68"/>
  <c r="E77" i="68"/>
  <c r="E78" i="68"/>
  <c r="E79" i="68"/>
  <c r="E80" i="68"/>
  <c r="E81" i="68"/>
  <c r="E82" i="68"/>
  <c r="E83" i="68"/>
  <c r="E84" i="68"/>
  <c r="E85" i="68"/>
  <c r="E87" i="68"/>
  <c r="E88" i="68"/>
  <c r="E89" i="68"/>
  <c r="E63" i="68"/>
  <c r="E64" i="68"/>
  <c r="E65" i="68"/>
  <c r="E66" i="68"/>
  <c r="E67" i="68"/>
  <c r="E68" i="68"/>
  <c r="E69" i="68"/>
  <c r="E62" i="68"/>
  <c r="C47" i="68"/>
  <c r="E19" i="68"/>
  <c r="E20" i="68"/>
  <c r="D65" i="17" l="1"/>
  <c r="D66" i="17"/>
  <c r="E6" i="24" l="1"/>
  <c r="C6" i="24" l="1"/>
  <c r="L8" i="64" l="1"/>
  <c r="F9" i="64"/>
  <c r="C6" i="30" l="1"/>
  <c r="F7" i="14"/>
  <c r="E7" i="14"/>
  <c r="D7" i="14"/>
  <c r="C7" i="14"/>
  <c r="F6" i="14"/>
  <c r="F8" i="14" s="1"/>
  <c r="E6" i="14"/>
  <c r="D6" i="14"/>
  <c r="C293" i="15"/>
  <c r="C292" i="15"/>
  <c r="C294" i="15"/>
  <c r="C6" i="14" l="1"/>
  <c r="D148" i="13" l="1"/>
  <c r="D144" i="13"/>
  <c r="D165" i="13"/>
  <c r="F206" i="13" l="1"/>
  <c r="E206" i="13"/>
  <c r="E6" i="2"/>
  <c r="D6" i="2"/>
  <c r="C6" i="2"/>
  <c r="F205" i="13"/>
  <c r="E205" i="13"/>
  <c r="F204" i="13"/>
  <c r="E204" i="13"/>
  <c r="F203" i="13"/>
  <c r="E203" i="13"/>
  <c r="D205" i="13"/>
  <c r="D204" i="13"/>
  <c r="D203" i="13"/>
  <c r="E133" i="13"/>
  <c r="D151" i="68" l="1"/>
  <c r="D152" i="68"/>
  <c r="D153" i="68"/>
  <c r="D154" i="68"/>
  <c r="D155" i="68"/>
  <c r="D156" i="68"/>
  <c r="D157" i="68"/>
  <c r="D158" i="68"/>
  <c r="D159" i="68"/>
  <c r="D160" i="68"/>
  <c r="D161" i="68"/>
  <c r="D162" i="68"/>
  <c r="D163" i="68"/>
  <c r="D164" i="68"/>
  <c r="D165" i="68" l="1"/>
  <c r="A172" i="68" s="1"/>
  <c r="C172" i="68" s="1"/>
  <c r="E8" i="64"/>
  <c r="D8" i="64"/>
  <c r="C8" i="64"/>
  <c r="B8" i="64"/>
  <c r="C179" i="68" l="1"/>
  <c r="A186" i="68"/>
  <c r="E186" i="68" s="1"/>
  <c r="C9" i="68" s="1"/>
  <c r="D9" i="68" s="1"/>
  <c r="A179" i="68"/>
  <c r="D11" i="64"/>
  <c r="D10" i="64"/>
  <c r="D9" i="64"/>
  <c r="C11" i="64"/>
  <c r="C10" i="64"/>
  <c r="C9" i="64"/>
  <c r="B11" i="64"/>
  <c r="F179" i="68" l="1"/>
  <c r="C8" i="68" s="1"/>
  <c r="D8" i="68" s="1"/>
  <c r="D7" i="68" s="1"/>
  <c r="A17" i="15"/>
  <c r="C6" i="13" l="1"/>
  <c r="C5" i="13"/>
  <c r="E53" i="17" l="1"/>
  <c r="C7" i="65"/>
  <c r="B7" i="65"/>
  <c r="D22" i="64" l="1"/>
  <c r="D23" i="64" s="1"/>
  <c r="E11" i="64"/>
  <c r="E10" i="64"/>
  <c r="E9" i="64"/>
  <c r="E12" i="64" l="1"/>
  <c r="L9" i="64" l="1"/>
  <c r="L10" i="64"/>
  <c r="L11" i="64"/>
  <c r="E6" i="64"/>
  <c r="C92" i="15"/>
  <c r="C90" i="15"/>
  <c r="F6" i="64" l="1"/>
  <c r="L6" i="64"/>
  <c r="L12" i="64"/>
  <c r="B5" i="69"/>
  <c r="B6" i="69"/>
  <c r="D92" i="15"/>
  <c r="F57" i="15"/>
  <c r="F54" i="15"/>
  <c r="F51" i="15"/>
  <c r="F48" i="15"/>
  <c r="F45" i="15"/>
  <c r="F42" i="15"/>
  <c r="F39" i="15"/>
  <c r="F36" i="15"/>
  <c r="F33" i="15"/>
  <c r="F30" i="15"/>
  <c r="F27" i="15"/>
  <c r="F59" i="15" l="1"/>
  <c r="E117" i="13"/>
  <c r="F305" i="15"/>
  <c r="E305" i="15"/>
  <c r="D305" i="15"/>
  <c r="F304" i="15"/>
  <c r="E304" i="15"/>
  <c r="D304" i="15"/>
  <c r="E303" i="15"/>
  <c r="F303" i="15"/>
  <c r="D303" i="15"/>
  <c r="E302" i="15"/>
  <c r="F302" i="15"/>
  <c r="D302" i="15"/>
  <c r="E301" i="15"/>
  <c r="F301" i="15"/>
  <c r="D301" i="15"/>
  <c r="E140" i="13"/>
  <c r="E139" i="13"/>
  <c r="E138" i="13"/>
  <c r="E137" i="13"/>
  <c r="E136" i="13"/>
  <c r="E135" i="13"/>
  <c r="E134" i="13"/>
  <c r="E132" i="13"/>
  <c r="E131" i="13"/>
  <c r="E130" i="13"/>
  <c r="E129" i="13"/>
  <c r="E128" i="13"/>
  <c r="E127" i="13"/>
  <c r="E126" i="13"/>
  <c r="E125" i="13"/>
  <c r="E124" i="13"/>
  <c r="E123" i="13"/>
  <c r="E122" i="13"/>
  <c r="E121" i="13"/>
  <c r="E120" i="13"/>
  <c r="E119" i="13"/>
  <c r="E118" i="13"/>
  <c r="E116" i="13"/>
  <c r="E115" i="13"/>
  <c r="E114" i="13"/>
  <c r="E113" i="13"/>
  <c r="E112" i="13"/>
  <c r="E111" i="13"/>
  <c r="E110" i="13"/>
  <c r="E109" i="13"/>
  <c r="E108" i="13"/>
  <c r="E107" i="13"/>
  <c r="E106" i="13"/>
  <c r="E105" i="13"/>
  <c r="E6" i="13"/>
  <c r="G205" i="13"/>
  <c r="G204" i="13"/>
  <c r="E292" i="15" l="1"/>
  <c r="D152" i="13"/>
  <c r="D173" i="13" s="1"/>
  <c r="G5" i="13"/>
  <c r="G6" i="13"/>
  <c r="F5" i="13"/>
  <c r="D5" i="13"/>
  <c r="D6" i="13"/>
  <c r="E5" i="13"/>
  <c r="F6" i="13"/>
  <c r="F129" i="13"/>
  <c r="D151" i="13" s="1"/>
  <c r="D172" i="13" s="1"/>
  <c r="F117" i="13"/>
  <c r="D147" i="13" s="1"/>
  <c r="F121" i="13"/>
  <c r="F133" i="13"/>
  <c r="F109" i="13"/>
  <c r="D145" i="13" s="1"/>
  <c r="D166" i="13" s="1"/>
  <c r="F113" i="13"/>
  <c r="D146" i="13" s="1"/>
  <c r="D167" i="13" s="1"/>
  <c r="F137" i="13"/>
  <c r="D153" i="13" s="1"/>
  <c r="F125" i="13"/>
  <c r="D150" i="13" s="1"/>
  <c r="F105" i="13"/>
  <c r="D11" i="2"/>
  <c r="E180" i="13" l="1"/>
  <c r="F180" i="13"/>
  <c r="G180" i="13"/>
  <c r="H180" i="13" s="1"/>
  <c r="D180" i="13"/>
  <c r="G181" i="13"/>
  <c r="F181" i="13"/>
  <c r="E181" i="13"/>
  <c r="D181" i="13"/>
  <c r="E186" i="13"/>
  <c r="G186" i="13"/>
  <c r="D186" i="13"/>
  <c r="F186" i="13"/>
  <c r="E187" i="13"/>
  <c r="G187" i="13"/>
  <c r="F187" i="13"/>
  <c r="D187" i="13"/>
  <c r="G179" i="13"/>
  <c r="C157" i="13"/>
  <c r="D169" i="13"/>
  <c r="C159" i="13"/>
  <c r="E153" i="13"/>
  <c r="D174" i="13"/>
  <c r="C158" i="13"/>
  <c r="D168" i="13"/>
  <c r="E150" i="13"/>
  <c r="D171" i="13"/>
  <c r="E144" i="13"/>
  <c r="E145" i="13"/>
  <c r="F185" i="13" l="1"/>
  <c r="E185" i="13"/>
  <c r="G185" i="13"/>
  <c r="D185" i="13"/>
  <c r="E188" i="13"/>
  <c r="D188" i="13"/>
  <c r="F188" i="13"/>
  <c r="G188" i="13"/>
  <c r="H188" i="13" s="1"/>
  <c r="G182" i="13"/>
  <c r="F195" i="13" s="1"/>
  <c r="E182" i="13"/>
  <c r="D195" i="13" s="1"/>
  <c r="D182" i="13"/>
  <c r="C195" i="13" s="1"/>
  <c r="F182" i="13"/>
  <c r="E195" i="13" s="1"/>
  <c r="C7" i="13"/>
  <c r="G183" i="13"/>
  <c r="F196" i="13" s="1"/>
  <c r="F183" i="13"/>
  <c r="E196" i="13" s="1"/>
  <c r="E183" i="13"/>
  <c r="D196" i="13" s="1"/>
  <c r="D183" i="13"/>
  <c r="C196" i="13" s="1"/>
  <c r="D179" i="13"/>
  <c r="E179" i="13"/>
  <c r="F179" i="13"/>
  <c r="D194" i="13" l="1"/>
  <c r="D198" i="13" s="1"/>
  <c r="F194" i="13"/>
  <c r="C194" i="13"/>
  <c r="C198" i="13" s="1"/>
  <c r="G7" i="13"/>
  <c r="E7" i="13"/>
  <c r="F7" i="13"/>
  <c r="E194" i="13"/>
  <c r="E198" i="13" s="1"/>
  <c r="H179" i="13"/>
  <c r="H185" i="13" l="1"/>
  <c r="C26" i="13" l="1"/>
  <c r="C5" i="62" l="1"/>
  <c r="E124" i="17"/>
  <c r="E134" i="17"/>
  <c r="E43" i="62" l="1"/>
  <c r="D43" i="62"/>
  <c r="F43" i="62" s="1"/>
  <c r="G27" i="62" l="1"/>
  <c r="G29" i="62" s="1"/>
  <c r="G30" i="62" s="1"/>
  <c r="C22" i="62" s="1"/>
  <c r="B145" i="2"/>
  <c r="C12" i="62"/>
  <c r="E133" i="17"/>
  <c r="E132" i="17"/>
  <c r="E131" i="17"/>
  <c r="E130" i="17"/>
  <c r="E129" i="17"/>
  <c r="E128" i="17"/>
  <c r="E123" i="17"/>
  <c r="E120" i="17"/>
  <c r="E125" i="17" s="1"/>
  <c r="G32" i="62" l="1"/>
  <c r="C23" i="62" s="1"/>
  <c r="C16" i="62"/>
  <c r="C27" i="62" l="1"/>
  <c r="E36" i="2" l="1"/>
  <c r="E35" i="2"/>
  <c r="D35" i="2"/>
  <c r="E34" i="2"/>
  <c r="D34" i="2"/>
  <c r="C7" i="2" l="1"/>
  <c r="C5" i="2" l="1"/>
  <c r="C8" i="2"/>
  <c r="C9" i="2"/>
  <c r="C12" i="2"/>
  <c r="C11" i="2"/>
  <c r="C10" i="2"/>
  <c r="C37" i="2"/>
  <c r="C36" i="2"/>
  <c r="C35" i="2"/>
  <c r="C34" i="2"/>
  <c r="C26" i="2"/>
  <c r="C27" i="2"/>
  <c r="C28" i="2"/>
  <c r="C29" i="2"/>
  <c r="C30" i="2"/>
  <c r="C31" i="2"/>
  <c r="C32" i="2"/>
  <c r="C33" i="2"/>
  <c r="C25" i="2"/>
  <c r="C15" i="2"/>
  <c r="C16" i="2"/>
  <c r="C17" i="2"/>
  <c r="C18" i="2"/>
  <c r="C19" i="2"/>
  <c r="C20" i="2"/>
  <c r="C21" i="2"/>
  <c r="C22" i="2"/>
  <c r="C23" i="2"/>
  <c r="C24" i="2"/>
  <c r="C14" i="2"/>
  <c r="D60" i="17"/>
  <c r="D24" i="17"/>
  <c r="D34" i="17" s="1"/>
  <c r="D25" i="17"/>
  <c r="E103" i="17"/>
  <c r="E108" i="17"/>
  <c r="E139" i="17" s="1"/>
  <c r="F108" i="17"/>
  <c r="G108" i="17"/>
  <c r="K108" i="17"/>
  <c r="E109" i="17"/>
  <c r="F109" i="17"/>
  <c r="G109" i="17"/>
  <c r="G140" i="17" s="1"/>
  <c r="K109" i="17"/>
  <c r="E112" i="17" s="1"/>
  <c r="E143" i="17" s="1"/>
  <c r="E110" i="17"/>
  <c r="F110" i="17"/>
  <c r="F141" i="17" s="1"/>
  <c r="G110" i="17"/>
  <c r="G141" i="17" s="1"/>
  <c r="K110" i="17"/>
  <c r="E113" i="17" s="1"/>
  <c r="E144" i="17" s="1"/>
  <c r="E111" i="17"/>
  <c r="E142" i="17" s="1"/>
  <c r="F111" i="17"/>
  <c r="F142" i="17" s="1"/>
  <c r="G111" i="17"/>
  <c r="G142" i="17" s="1"/>
  <c r="G112" i="17"/>
  <c r="G143" i="17" s="1"/>
  <c r="E114" i="17"/>
  <c r="F114" i="17"/>
  <c r="F145" i="17" s="1"/>
  <c r="G114" i="17"/>
  <c r="F139" i="17"/>
  <c r="E60" i="17"/>
  <c r="F59" i="17"/>
  <c r="E59" i="17"/>
  <c r="D59" i="17"/>
  <c r="D50" i="17"/>
  <c r="G55" i="17" s="1"/>
  <c r="E7" i="65"/>
  <c r="F140" i="17" l="1"/>
  <c r="G139" i="17"/>
  <c r="E140" i="17"/>
  <c r="E145" i="17"/>
  <c r="G145" i="17"/>
  <c r="E115" i="17"/>
  <c r="E135" i="17"/>
  <c r="F113" i="17"/>
  <c r="F144" i="17" s="1"/>
  <c r="F112" i="17"/>
  <c r="F143" i="17" s="1"/>
  <c r="E141" i="17"/>
  <c r="G113" i="17"/>
  <c r="G144" i="17" s="1"/>
  <c r="H55" i="17"/>
  <c r="F53" i="17"/>
  <c r="G6" i="24"/>
  <c r="G115" i="17" l="1"/>
  <c r="E146" i="17"/>
  <c r="G146" i="17"/>
  <c r="F146" i="17"/>
  <c r="F115" i="17"/>
  <c r="B6" i="24"/>
  <c r="F6" i="24"/>
  <c r="D6" i="24"/>
  <c r="C52" i="59" l="1"/>
  <c r="D52" i="59"/>
  <c r="E52" i="59"/>
  <c r="F52" i="59"/>
  <c r="G52" i="59"/>
  <c r="H52" i="59"/>
  <c r="B52" i="59"/>
  <c r="C38" i="59"/>
  <c r="D38" i="59"/>
  <c r="E38" i="59"/>
  <c r="F38" i="59"/>
  <c r="G38" i="59"/>
  <c r="H38" i="59"/>
  <c r="D5" i="69"/>
  <c r="D6" i="69" s="1"/>
  <c r="C25" i="30" s="1"/>
  <c r="C5" i="69"/>
  <c r="C6" i="69" s="1"/>
  <c r="C24" i="30" s="1"/>
  <c r="E5" i="69"/>
  <c r="E6" i="69" s="1"/>
  <c r="C26" i="30" s="1"/>
  <c r="B45" i="59"/>
  <c r="B39" i="59"/>
  <c r="B9" i="59"/>
  <c r="D33" i="59"/>
  <c r="C33" i="59"/>
  <c r="B33" i="59"/>
  <c r="D32" i="59"/>
  <c r="C32" i="59"/>
  <c r="B32" i="59"/>
  <c r="C20" i="59"/>
  <c r="D20" i="59"/>
  <c r="B20" i="59"/>
  <c r="H110" i="17"/>
  <c r="H141" i="17" s="1"/>
  <c r="E88" i="17" s="1"/>
  <c r="C9" i="59"/>
  <c r="D9" i="59"/>
  <c r="C27" i="30" l="1"/>
  <c r="E22" i="64" s="1"/>
  <c r="F22" i="64" s="1"/>
  <c r="H111" i="17"/>
  <c r="H142" i="17" s="1"/>
  <c r="E89" i="17" s="1"/>
  <c r="H112" i="17"/>
  <c r="H143" i="17" s="1"/>
  <c r="E90" i="17" s="1"/>
  <c r="H113" i="17"/>
  <c r="H144" i="17" s="1"/>
  <c r="E91" i="17" s="1"/>
  <c r="H109" i="17"/>
  <c r="H140" i="17" s="1"/>
  <c r="E87" i="17" s="1"/>
  <c r="H108" i="17"/>
  <c r="B38" i="59"/>
  <c r="D31" i="59"/>
  <c r="D18" i="59" s="1"/>
  <c r="D8" i="59" s="1"/>
  <c r="C31" i="59"/>
  <c r="C18" i="59" s="1"/>
  <c r="C8" i="59" s="1"/>
  <c r="B31" i="59"/>
  <c r="B18" i="59" s="1"/>
  <c r="C22" i="73"/>
  <c r="C21" i="73"/>
  <c r="C19" i="73"/>
  <c r="C17" i="73"/>
  <c r="H114" i="17" l="1"/>
  <c r="H145" i="17" s="1"/>
  <c r="E92" i="17" s="1"/>
  <c r="H139" i="17"/>
  <c r="I8" i="59"/>
  <c r="I7" i="59" s="1"/>
  <c r="B8" i="59"/>
  <c r="H115" i="17" l="1"/>
  <c r="E86" i="17"/>
  <c r="E93" i="17" s="1"/>
  <c r="H146" i="17"/>
  <c r="F11" i="64" l="1"/>
  <c r="F10" i="64"/>
  <c r="B206" i="13"/>
  <c r="C44" i="13"/>
  <c r="C27" i="13" l="1"/>
  <c r="C29" i="13" s="1"/>
  <c r="C30" i="13" s="1"/>
  <c r="C31" i="13" s="1"/>
  <c r="D149" i="13" s="1"/>
  <c r="C160" i="13" l="1"/>
  <c r="D170" i="13"/>
  <c r="E146" i="13"/>
  <c r="C8" i="13"/>
  <c r="G184" i="13" l="1"/>
  <c r="E184" i="13"/>
  <c r="D184" i="13"/>
  <c r="F184" i="13"/>
  <c r="D8" i="13"/>
  <c r="G8" i="13"/>
  <c r="G9" i="13" s="1"/>
  <c r="E8" i="13"/>
  <c r="F8" i="13"/>
  <c r="D105" i="15"/>
  <c r="E197" i="13" l="1"/>
  <c r="F189" i="13"/>
  <c r="D197" i="13"/>
  <c r="E189" i="13"/>
  <c r="C197" i="13"/>
  <c r="D189" i="13"/>
  <c r="F197" i="13"/>
  <c r="F198" i="13" s="1"/>
  <c r="H181" i="13"/>
  <c r="G189" i="13"/>
  <c r="E49" i="2"/>
  <c r="E50" i="2" s="1"/>
  <c r="C37" i="62" l="1"/>
  <c r="C15" i="30"/>
  <c r="E30" i="17"/>
  <c r="D35" i="17" s="1"/>
  <c r="B6" i="65"/>
  <c r="B23" i="64"/>
  <c r="C23" i="64"/>
  <c r="B9" i="64"/>
  <c r="B10" i="64"/>
  <c r="E16" i="64"/>
  <c r="F16" i="64" s="1"/>
  <c r="D12" i="64" l="1"/>
  <c r="F8" i="64"/>
  <c r="C44" i="62"/>
  <c r="F44" i="62"/>
  <c r="C6" i="62" s="1"/>
  <c r="E44" i="62"/>
  <c r="D44" i="62"/>
  <c r="H6" i="24"/>
  <c r="C23" i="30" s="1"/>
  <c r="E21" i="64" s="1"/>
  <c r="F21" i="64" s="1"/>
  <c r="B12" i="64"/>
  <c r="I8" i="64" s="1"/>
  <c r="J16" i="64"/>
  <c r="J18" i="64"/>
  <c r="J20" i="64"/>
  <c r="J22" i="64"/>
  <c r="J15" i="64"/>
  <c r="J19" i="64"/>
  <c r="J14" i="64"/>
  <c r="J17" i="64"/>
  <c r="J21" i="64"/>
  <c r="I16" i="64"/>
  <c r="I18" i="64"/>
  <c r="I20" i="64"/>
  <c r="I22" i="64"/>
  <c r="I14" i="64"/>
  <c r="I15" i="64"/>
  <c r="I17" i="64"/>
  <c r="I19" i="64"/>
  <c r="I21" i="64"/>
  <c r="E56" i="17"/>
  <c r="C12" i="64"/>
  <c r="C101" i="15"/>
  <c r="F12" i="64" l="1"/>
  <c r="K8" i="64"/>
  <c r="B25" i="64"/>
  <c r="I23" i="64"/>
  <c r="I10" i="64"/>
  <c r="I11" i="64"/>
  <c r="I9" i="64"/>
  <c r="K9" i="64"/>
  <c r="J23" i="64"/>
  <c r="J11" i="64"/>
  <c r="J9" i="64"/>
  <c r="K10" i="64"/>
  <c r="K11" i="64"/>
  <c r="J10" i="64"/>
  <c r="J8" i="64"/>
  <c r="K12" i="64" l="1"/>
  <c r="J12" i="64"/>
  <c r="I12" i="64"/>
  <c r="B305" i="15"/>
  <c r="B304" i="15"/>
  <c r="M108" i="15"/>
  <c r="M107" i="15"/>
  <c r="M106" i="15"/>
  <c r="M105" i="15"/>
  <c r="M104" i="15"/>
  <c r="M103" i="15"/>
  <c r="M102" i="15"/>
  <c r="M101" i="15"/>
  <c r="M100" i="15"/>
  <c r="M99" i="15"/>
  <c r="M98" i="15"/>
  <c r="M97" i="15"/>
  <c r="M96" i="15"/>
  <c r="M95" i="15"/>
  <c r="M94" i="15"/>
  <c r="M93" i="15"/>
  <c r="M92" i="15"/>
  <c r="M91" i="15"/>
  <c r="M90" i="15"/>
  <c r="L90" i="15"/>
  <c r="L108" i="15"/>
  <c r="L107" i="15"/>
  <c r="L106" i="15"/>
  <c r="L105" i="15"/>
  <c r="L101" i="15"/>
  <c r="L102" i="15"/>
  <c r="L103" i="15"/>
  <c r="L104" i="15"/>
  <c r="L100" i="15"/>
  <c r="L99" i="15"/>
  <c r="L98" i="15"/>
  <c r="L97" i="15"/>
  <c r="L96" i="15"/>
  <c r="L95" i="15"/>
  <c r="L94" i="15"/>
  <c r="L93" i="15"/>
  <c r="L92" i="15"/>
  <c r="L91" i="15"/>
  <c r="K90" i="15"/>
  <c r="K108" i="15"/>
  <c r="K107" i="15"/>
  <c r="K106" i="15"/>
  <c r="K105" i="15"/>
  <c r="K101" i="15"/>
  <c r="K102" i="15"/>
  <c r="K103" i="15"/>
  <c r="K104" i="15"/>
  <c r="K100" i="15"/>
  <c r="K99" i="15"/>
  <c r="K98" i="15"/>
  <c r="K97" i="15"/>
  <c r="K96" i="15"/>
  <c r="K95" i="15"/>
  <c r="K94" i="15"/>
  <c r="K93" i="15"/>
  <c r="K92" i="15"/>
  <c r="K91" i="15"/>
  <c r="J90" i="15"/>
  <c r="J108" i="15"/>
  <c r="J107" i="15"/>
  <c r="J106" i="15"/>
  <c r="J105" i="15"/>
  <c r="J104" i="15"/>
  <c r="J101" i="15"/>
  <c r="J102" i="15"/>
  <c r="J103" i="15"/>
  <c r="J100" i="15"/>
  <c r="J99" i="15"/>
  <c r="J98" i="15"/>
  <c r="J97" i="15"/>
  <c r="J96" i="15"/>
  <c r="J95" i="15"/>
  <c r="J93" i="15"/>
  <c r="J94" i="15"/>
  <c r="J92" i="15"/>
  <c r="J91" i="15"/>
  <c r="I90" i="15"/>
  <c r="I108" i="15"/>
  <c r="I107" i="15"/>
  <c r="I106" i="15"/>
  <c r="I105" i="15"/>
  <c r="I101" i="15"/>
  <c r="I102" i="15"/>
  <c r="I103" i="15"/>
  <c r="I104" i="15"/>
  <c r="I100" i="15"/>
  <c r="I99" i="15"/>
  <c r="I98" i="15"/>
  <c r="I97" i="15"/>
  <c r="I96" i="15"/>
  <c r="I95" i="15"/>
  <c r="I94" i="15"/>
  <c r="I93" i="15"/>
  <c r="I92" i="15"/>
  <c r="I91" i="15"/>
  <c r="H90" i="15"/>
  <c r="H108" i="15"/>
  <c r="H107" i="15"/>
  <c r="H106" i="15"/>
  <c r="H105" i="15"/>
  <c r="H101" i="15"/>
  <c r="H102" i="15"/>
  <c r="H103" i="15"/>
  <c r="H104" i="15"/>
  <c r="H100" i="15"/>
  <c r="H99" i="15"/>
  <c r="H98" i="15"/>
  <c r="H97" i="15"/>
  <c r="H96" i="15"/>
  <c r="H95" i="15"/>
  <c r="H94" i="15"/>
  <c r="H93" i="15"/>
  <c r="H92" i="15"/>
  <c r="H91" i="15"/>
  <c r="G90" i="15"/>
  <c r="G108" i="15"/>
  <c r="G107" i="15"/>
  <c r="G106" i="15"/>
  <c r="G105" i="15"/>
  <c r="G101" i="15"/>
  <c r="G102" i="15"/>
  <c r="G103" i="15"/>
  <c r="G104" i="15"/>
  <c r="G100" i="15"/>
  <c r="G99" i="15"/>
  <c r="G98" i="15"/>
  <c r="G97" i="15"/>
  <c r="G96" i="15"/>
  <c r="E90" i="15"/>
  <c r="F90" i="15"/>
  <c r="G93" i="15"/>
  <c r="G92" i="15"/>
  <c r="G91" i="15"/>
  <c r="F95" i="15"/>
  <c r="G95" i="15"/>
  <c r="F94" i="15"/>
  <c r="G94" i="15"/>
  <c r="F108" i="15"/>
  <c r="F106" i="15"/>
  <c r="F107" i="15"/>
  <c r="F105" i="15"/>
  <c r="F101" i="15"/>
  <c r="F102" i="15"/>
  <c r="F103" i="15"/>
  <c r="F104" i="15"/>
  <c r="F100" i="15"/>
  <c r="E100" i="15"/>
  <c r="F99" i="15"/>
  <c r="F98" i="15"/>
  <c r="F97" i="15"/>
  <c r="F96" i="15"/>
  <c r="E95" i="15"/>
  <c r="F93" i="15"/>
  <c r="F92" i="15"/>
  <c r="F91" i="15"/>
  <c r="E108" i="15"/>
  <c r="E107" i="15"/>
  <c r="E106" i="15"/>
  <c r="E105" i="15"/>
  <c r="E101" i="15"/>
  <c r="E102" i="15"/>
  <c r="E103" i="15"/>
  <c r="E104" i="15"/>
  <c r="E99" i="15"/>
  <c r="E98" i="15"/>
  <c r="E97" i="15"/>
  <c r="E96" i="15"/>
  <c r="D95" i="15"/>
  <c r="D100" i="15"/>
  <c r="D99" i="15"/>
  <c r="D98" i="15"/>
  <c r="D97" i="15"/>
  <c r="D96" i="15"/>
  <c r="E94" i="15"/>
  <c r="E93" i="15"/>
  <c r="E92" i="15"/>
  <c r="E91" i="15"/>
  <c r="D90" i="15"/>
  <c r="D108" i="15"/>
  <c r="D107" i="15"/>
  <c r="D106" i="15"/>
  <c r="D101" i="15"/>
  <c r="D102" i="15"/>
  <c r="D103" i="15"/>
  <c r="D104" i="15"/>
  <c r="D94" i="15"/>
  <c r="D93" i="15"/>
  <c r="D91" i="15"/>
  <c r="C108" i="15"/>
  <c r="C107" i="15"/>
  <c r="C106" i="15"/>
  <c r="C105" i="15"/>
  <c r="C102" i="15"/>
  <c r="C103" i="15"/>
  <c r="C104" i="15"/>
  <c r="C100" i="15"/>
  <c r="C99" i="15"/>
  <c r="C98" i="15"/>
  <c r="C97" i="15"/>
  <c r="C96" i="15"/>
  <c r="C95" i="15"/>
  <c r="C94" i="15"/>
  <c r="C93" i="15"/>
  <c r="C91" i="15"/>
  <c r="C13" i="13"/>
  <c r="C164" i="15" l="1"/>
  <c r="C184" i="15"/>
  <c r="L109" i="15"/>
  <c r="C139" i="15"/>
  <c r="F109" i="15"/>
  <c r="H109" i="15"/>
  <c r="I109" i="15"/>
  <c r="C189" i="15"/>
  <c r="C141" i="15"/>
  <c r="K109" i="15"/>
  <c r="M109" i="15"/>
  <c r="C128" i="15"/>
  <c r="E128" i="15" s="1"/>
  <c r="G128" i="15" s="1"/>
  <c r="J109" i="15"/>
  <c r="C120" i="15"/>
  <c r="C146" i="15"/>
  <c r="E146" i="15" s="1"/>
  <c r="G146" i="15" s="1"/>
  <c r="C152" i="15"/>
  <c r="C182" i="15"/>
  <c r="C142" i="15"/>
  <c r="C122" i="15"/>
  <c r="E122" i="15" s="1"/>
  <c r="G122" i="15" s="1"/>
  <c r="C123" i="15"/>
  <c r="E123" i="15" s="1"/>
  <c r="G123" i="15" s="1"/>
  <c r="C126" i="15"/>
  <c r="E126" i="15" s="1"/>
  <c r="G126" i="15" s="1"/>
  <c r="C162" i="15"/>
  <c r="E162" i="15" s="1"/>
  <c r="G162" i="15" s="1"/>
  <c r="C121" i="15"/>
  <c r="E121" i="15" s="1"/>
  <c r="G121" i="15" s="1"/>
  <c r="C131" i="15"/>
  <c r="C155" i="15"/>
  <c r="C170" i="15"/>
  <c r="C177" i="15"/>
  <c r="C119" i="15"/>
  <c r="C129" i="15"/>
  <c r="C144" i="15"/>
  <c r="C160" i="15"/>
  <c r="C166" i="15"/>
  <c r="C172" i="15"/>
  <c r="C174" i="15"/>
  <c r="C180" i="15"/>
  <c r="C186" i="15"/>
  <c r="E186" i="15" s="1"/>
  <c r="G186" i="15" s="1"/>
  <c r="C191" i="15"/>
  <c r="E191" i="15" s="1"/>
  <c r="G191" i="15" s="1"/>
  <c r="C140" i="15"/>
  <c r="C145" i="15"/>
  <c r="C147" i="15"/>
  <c r="C150" i="15"/>
  <c r="C149" i="15"/>
  <c r="C151" i="15"/>
  <c r="E151" i="15" s="1"/>
  <c r="G151" i="15" s="1"/>
  <c r="C154" i="15"/>
  <c r="C156" i="15"/>
  <c r="E156" i="15" s="1"/>
  <c r="G156" i="15" s="1"/>
  <c r="C159" i="15"/>
  <c r="C161" i="15"/>
  <c r="E161" i="15" s="1"/>
  <c r="G161" i="15" s="1"/>
  <c r="C165" i="15"/>
  <c r="E165" i="15" s="1"/>
  <c r="G165" i="15" s="1"/>
  <c r="C167" i="15"/>
  <c r="E167" i="15" s="1"/>
  <c r="G167" i="15" s="1"/>
  <c r="C169" i="15"/>
  <c r="C171" i="15"/>
  <c r="C175" i="15"/>
  <c r="E175" i="15" s="1"/>
  <c r="G175" i="15" s="1"/>
  <c r="C176" i="15"/>
  <c r="E176" i="15" s="1"/>
  <c r="G176" i="15" s="1"/>
  <c r="C179" i="15"/>
  <c r="C181" i="15"/>
  <c r="E181" i="15" s="1"/>
  <c r="G181" i="15" s="1"/>
  <c r="C185" i="15"/>
  <c r="C187" i="15"/>
  <c r="C190" i="15"/>
  <c r="C192" i="15"/>
  <c r="C157" i="15"/>
  <c r="C138" i="15"/>
  <c r="C115" i="15"/>
  <c r="C118" i="15"/>
  <c r="E118" i="15" s="1"/>
  <c r="G118" i="15" s="1"/>
  <c r="C116" i="15"/>
  <c r="C143" i="15"/>
  <c r="C153" i="15"/>
  <c r="C163" i="15"/>
  <c r="C173" i="15"/>
  <c r="C178" i="15"/>
  <c r="C188" i="15"/>
  <c r="E171" i="15"/>
  <c r="G171" i="15" s="1"/>
  <c r="C148" i="15"/>
  <c r="C158" i="15"/>
  <c r="C168" i="15"/>
  <c r="C183" i="15"/>
  <c r="C124" i="15"/>
  <c r="C117" i="15"/>
  <c r="C127" i="15"/>
  <c r="C125" i="15"/>
  <c r="C130" i="15"/>
  <c r="C132" i="15"/>
  <c r="C109" i="15"/>
  <c r="C114" i="15"/>
  <c r="G109" i="15"/>
  <c r="D109" i="15"/>
  <c r="E109" i="15"/>
  <c r="D149" i="15" l="1"/>
  <c r="E149" i="15" s="1"/>
  <c r="G149" i="15" s="1"/>
  <c r="C243" i="15" s="1"/>
  <c r="D151" i="15"/>
  <c r="D116" i="15"/>
  <c r="D176" i="15"/>
  <c r="D186" i="15"/>
  <c r="D165" i="15"/>
  <c r="D162" i="15"/>
  <c r="D171" i="15"/>
  <c r="D118" i="15"/>
  <c r="D184" i="15"/>
  <c r="E184" i="15" s="1"/>
  <c r="G184" i="15" s="1"/>
  <c r="C278" i="15" s="1"/>
  <c r="D179" i="15"/>
  <c r="E179" i="15" s="1"/>
  <c r="G179" i="15" s="1"/>
  <c r="D273" i="15" s="1"/>
  <c r="D169" i="15"/>
  <c r="E169" i="15" s="1"/>
  <c r="G169" i="15" s="1"/>
  <c r="C263" i="15" s="1"/>
  <c r="D159" i="15"/>
  <c r="E159" i="15" s="1"/>
  <c r="G159" i="15" s="1"/>
  <c r="F253" i="15" s="1"/>
  <c r="D175" i="15"/>
  <c r="D154" i="15"/>
  <c r="E154" i="15" s="1"/>
  <c r="G154" i="15" s="1"/>
  <c r="C248" i="15" s="1"/>
  <c r="D144" i="15"/>
  <c r="E144" i="15" s="1"/>
  <c r="G144" i="15" s="1"/>
  <c r="F238" i="15" s="1"/>
  <c r="D132" i="15"/>
  <c r="E132" i="15" s="1"/>
  <c r="G132" i="15" s="1"/>
  <c r="D117" i="15"/>
  <c r="D189" i="15"/>
  <c r="E189" i="15" s="1"/>
  <c r="G189" i="15" s="1"/>
  <c r="C283" i="15" s="1"/>
  <c r="D191" i="15"/>
  <c r="D181" i="15"/>
  <c r="D167" i="15"/>
  <c r="D161" i="15"/>
  <c r="D156" i="15"/>
  <c r="D139" i="15"/>
  <c r="E139" i="15" s="1"/>
  <c r="E116" i="15"/>
  <c r="G116" i="15" s="1"/>
  <c r="F211" i="15" s="1"/>
  <c r="D125" i="15"/>
  <c r="E125" i="15" s="1"/>
  <c r="G125" i="15" s="1"/>
  <c r="D127" i="15"/>
  <c r="D115" i="15"/>
  <c r="E115" i="15" s="1"/>
  <c r="G115" i="15" s="1"/>
  <c r="D126" i="15"/>
  <c r="D123" i="15"/>
  <c r="D120" i="15"/>
  <c r="E120" i="15" s="1"/>
  <c r="G120" i="15" s="1"/>
  <c r="D121" i="15"/>
  <c r="D128" i="15"/>
  <c r="D122" i="15"/>
  <c r="D174" i="15"/>
  <c r="E174" i="15" s="1"/>
  <c r="G174" i="15" s="1"/>
  <c r="D268" i="15" s="1"/>
  <c r="C217" i="15"/>
  <c r="E217" i="15"/>
  <c r="D217" i="15"/>
  <c r="F217" i="15"/>
  <c r="C213" i="15"/>
  <c r="E213" i="15"/>
  <c r="D213" i="15"/>
  <c r="F213" i="15"/>
  <c r="D221" i="15"/>
  <c r="F221" i="15"/>
  <c r="C221" i="15"/>
  <c r="E221" i="15"/>
  <c r="C218" i="15"/>
  <c r="E218" i="15"/>
  <c r="D218" i="15"/>
  <c r="F218" i="15"/>
  <c r="C216" i="15"/>
  <c r="E216" i="15"/>
  <c r="D216" i="15"/>
  <c r="F216" i="15"/>
  <c r="D223" i="15"/>
  <c r="F223" i="15"/>
  <c r="C223" i="15"/>
  <c r="E223" i="15"/>
  <c r="D114" i="15"/>
  <c r="E114" i="15" s="1"/>
  <c r="G114" i="15" s="1"/>
  <c r="D183" i="15"/>
  <c r="E183" i="15" s="1"/>
  <c r="G183" i="15" s="1"/>
  <c r="F277" i="15" s="1"/>
  <c r="D138" i="15"/>
  <c r="D269" i="15"/>
  <c r="C269" i="15"/>
  <c r="E269" i="15"/>
  <c r="D259" i="15"/>
  <c r="C259" i="15"/>
  <c r="E259" i="15"/>
  <c r="E190" i="15"/>
  <c r="G190" i="15" s="1"/>
  <c r="D190" i="15"/>
  <c r="E187" i="15"/>
  <c r="G187" i="15" s="1"/>
  <c r="F281" i="15" s="1"/>
  <c r="D187" i="15"/>
  <c r="E180" i="15"/>
  <c r="G180" i="15" s="1"/>
  <c r="F274" i="15" s="1"/>
  <c r="D180" i="15"/>
  <c r="E177" i="15"/>
  <c r="G177" i="15" s="1"/>
  <c r="F271" i="15" s="1"/>
  <c r="D177" i="15"/>
  <c r="E172" i="15"/>
  <c r="G172" i="15" s="1"/>
  <c r="C266" i="15" s="1"/>
  <c r="D172" i="15"/>
  <c r="E160" i="15"/>
  <c r="G160" i="15" s="1"/>
  <c r="F254" i="15" s="1"/>
  <c r="D160" i="15"/>
  <c r="E155" i="15"/>
  <c r="G155" i="15" s="1"/>
  <c r="D155" i="15"/>
  <c r="E150" i="15"/>
  <c r="G150" i="15" s="1"/>
  <c r="F244" i="15" s="1"/>
  <c r="D150" i="15"/>
  <c r="E147" i="15"/>
  <c r="G147" i="15" s="1"/>
  <c r="D241" i="15" s="1"/>
  <c r="D147" i="15"/>
  <c r="E141" i="15"/>
  <c r="D141" i="15"/>
  <c r="D168" i="15"/>
  <c r="E168" i="15" s="1"/>
  <c r="D158" i="15"/>
  <c r="E158" i="15" s="1"/>
  <c r="G158" i="15" s="1"/>
  <c r="F252" i="15" s="1"/>
  <c r="D178" i="15"/>
  <c r="E178" i="15" s="1"/>
  <c r="D163" i="15"/>
  <c r="E163" i="15" s="1"/>
  <c r="D164" i="15"/>
  <c r="E164" i="15" s="1"/>
  <c r="G164" i="15" s="1"/>
  <c r="F258" i="15" s="1"/>
  <c r="D146" i="15"/>
  <c r="E192" i="15"/>
  <c r="G192" i="15" s="1"/>
  <c r="E286" i="15" s="1"/>
  <c r="D192" i="15"/>
  <c r="E185" i="15"/>
  <c r="G185" i="15" s="1"/>
  <c r="F279" i="15" s="1"/>
  <c r="D185" i="15"/>
  <c r="E182" i="15"/>
  <c r="G182" i="15" s="1"/>
  <c r="F276" i="15" s="1"/>
  <c r="D182" i="15"/>
  <c r="E170" i="15"/>
  <c r="G170" i="15" s="1"/>
  <c r="F264" i="15" s="1"/>
  <c r="D170" i="15"/>
  <c r="E166" i="15"/>
  <c r="G166" i="15" s="1"/>
  <c r="F260" i="15" s="1"/>
  <c r="D166" i="15"/>
  <c r="E157" i="15"/>
  <c r="G157" i="15" s="1"/>
  <c r="F251" i="15" s="1"/>
  <c r="D157" i="15"/>
  <c r="E152" i="15"/>
  <c r="G152" i="15" s="1"/>
  <c r="F246" i="15" s="1"/>
  <c r="D152" i="15"/>
  <c r="E145" i="15"/>
  <c r="G145" i="15" s="1"/>
  <c r="F239" i="15" s="1"/>
  <c r="D145" i="15"/>
  <c r="E140" i="15"/>
  <c r="D140" i="15"/>
  <c r="E142" i="15"/>
  <c r="D142" i="15"/>
  <c r="D148" i="15"/>
  <c r="E148" i="15" s="1"/>
  <c r="D188" i="15"/>
  <c r="E188" i="15" s="1"/>
  <c r="D173" i="15"/>
  <c r="E173" i="15" s="1"/>
  <c r="D153" i="15"/>
  <c r="E153" i="15" s="1"/>
  <c r="D143" i="15"/>
  <c r="E143" i="15" s="1"/>
  <c r="D245" i="15"/>
  <c r="F245" i="15"/>
  <c r="C245" i="15"/>
  <c r="E245" i="15"/>
  <c r="D265" i="15"/>
  <c r="F265" i="15"/>
  <c r="C265" i="15"/>
  <c r="E265" i="15"/>
  <c r="D285" i="15"/>
  <c r="F285" i="15"/>
  <c r="C285" i="15"/>
  <c r="E285" i="15"/>
  <c r="D250" i="15"/>
  <c r="F250" i="15"/>
  <c r="C250" i="15"/>
  <c r="E250" i="15"/>
  <c r="D270" i="15"/>
  <c r="F270" i="15"/>
  <c r="C270" i="15"/>
  <c r="E270" i="15"/>
  <c r="D261" i="15"/>
  <c r="F261" i="15"/>
  <c r="C261" i="15"/>
  <c r="E261" i="15"/>
  <c r="D256" i="15"/>
  <c r="F256" i="15"/>
  <c r="C256" i="15"/>
  <c r="E256" i="15"/>
  <c r="F284" i="15"/>
  <c r="F269" i="15"/>
  <c r="F259" i="15"/>
  <c r="F249" i="15"/>
  <c r="D255" i="15"/>
  <c r="F255" i="15"/>
  <c r="C255" i="15"/>
  <c r="E255" i="15"/>
  <c r="D275" i="15"/>
  <c r="F275" i="15"/>
  <c r="C275" i="15"/>
  <c r="E275" i="15"/>
  <c r="D240" i="15"/>
  <c r="F240" i="15"/>
  <c r="C240" i="15"/>
  <c r="E240" i="15"/>
  <c r="D280" i="15"/>
  <c r="F280" i="15"/>
  <c r="C280" i="15"/>
  <c r="E280" i="15"/>
  <c r="E266" i="15"/>
  <c r="E127" i="15"/>
  <c r="G127" i="15" s="1"/>
  <c r="D130" i="15"/>
  <c r="E130" i="15" s="1"/>
  <c r="D119" i="15"/>
  <c r="E119" i="15" s="1"/>
  <c r="E117" i="15"/>
  <c r="G117" i="15" s="1"/>
  <c r="D124" i="15"/>
  <c r="E124" i="15" s="1"/>
  <c r="D129" i="15"/>
  <c r="E129" i="15" s="1"/>
  <c r="D131" i="15"/>
  <c r="E131" i="15" s="1"/>
  <c r="F266" i="15" l="1"/>
  <c r="D266" i="15"/>
  <c r="D243" i="15"/>
  <c r="F243" i="15"/>
  <c r="E283" i="15"/>
  <c r="E243" i="15"/>
  <c r="D276" i="15"/>
  <c r="C286" i="15"/>
  <c r="D238" i="15"/>
  <c r="F283" i="15"/>
  <c r="D248" i="15"/>
  <c r="D263" i="15"/>
  <c r="F248" i="15"/>
  <c r="E273" i="15"/>
  <c r="C251" i="15"/>
  <c r="F268" i="15"/>
  <c r="E248" i="15"/>
  <c r="C273" i="15"/>
  <c r="E251" i="15"/>
  <c r="E268" i="15"/>
  <c r="D251" i="15"/>
  <c r="F273" i="15"/>
  <c r="C268" i="15"/>
  <c r="E238" i="15"/>
  <c r="C238" i="15"/>
  <c r="E263" i="15"/>
  <c r="F263" i="15"/>
  <c r="D281" i="15"/>
  <c r="D278" i="15"/>
  <c r="D211" i="15"/>
  <c r="F278" i="15"/>
  <c r="G277" i="15" s="1"/>
  <c r="E278" i="15"/>
  <c r="F241" i="15"/>
  <c r="F286" i="15"/>
  <c r="E276" i="15"/>
  <c r="D286" i="15"/>
  <c r="C276" i="15"/>
  <c r="D271" i="15"/>
  <c r="D260" i="15"/>
  <c r="D246" i="15"/>
  <c r="C241" i="15"/>
  <c r="E241" i="15"/>
  <c r="E211" i="15"/>
  <c r="E246" i="15"/>
  <c r="E260" i="15"/>
  <c r="C246" i="15"/>
  <c r="C271" i="15"/>
  <c r="C260" i="15"/>
  <c r="C281" i="15"/>
  <c r="D283" i="15"/>
  <c r="C211" i="15"/>
  <c r="E271" i="15"/>
  <c r="E281" i="15"/>
  <c r="F188" i="15"/>
  <c r="E138" i="15"/>
  <c r="F138" i="15" s="1"/>
  <c r="E227" i="15"/>
  <c r="D227" i="15"/>
  <c r="C227" i="15"/>
  <c r="F227" i="15"/>
  <c r="G226" i="15" s="1"/>
  <c r="G252" i="15"/>
  <c r="D222" i="15"/>
  <c r="F222" i="15"/>
  <c r="C222" i="15"/>
  <c r="E222" i="15"/>
  <c r="C215" i="15"/>
  <c r="E215" i="15"/>
  <c r="D215" i="15"/>
  <c r="F215" i="15"/>
  <c r="D209" i="15"/>
  <c r="F209" i="15"/>
  <c r="C209" i="15"/>
  <c r="E209" i="15"/>
  <c r="D210" i="15"/>
  <c r="F210" i="15"/>
  <c r="E210" i="15"/>
  <c r="C210" i="15"/>
  <c r="D220" i="15"/>
  <c r="F220" i="15"/>
  <c r="C220" i="15"/>
  <c r="E220" i="15"/>
  <c r="C212" i="15"/>
  <c r="E212" i="15"/>
  <c r="D212" i="15"/>
  <c r="F212" i="15"/>
  <c r="F129" i="15"/>
  <c r="G129" i="15"/>
  <c r="F119" i="15"/>
  <c r="G119" i="15"/>
  <c r="G139" i="15"/>
  <c r="B198" i="15"/>
  <c r="C198" i="15" s="1"/>
  <c r="F153" i="15"/>
  <c r="G153" i="15"/>
  <c r="G188" i="15"/>
  <c r="D279" i="15"/>
  <c r="C279" i="15"/>
  <c r="E279" i="15"/>
  <c r="C258" i="15"/>
  <c r="E258" i="15"/>
  <c r="D258" i="15"/>
  <c r="F178" i="15"/>
  <c r="G178" i="15"/>
  <c r="F168" i="15"/>
  <c r="G168" i="15"/>
  <c r="B200" i="15"/>
  <c r="C200" i="15" s="1"/>
  <c r="G141" i="15"/>
  <c r="C244" i="15"/>
  <c r="E244" i="15"/>
  <c r="D244" i="15"/>
  <c r="D249" i="15"/>
  <c r="C249" i="15"/>
  <c r="E249" i="15"/>
  <c r="C254" i="15"/>
  <c r="E254" i="15"/>
  <c r="D254" i="15"/>
  <c r="C274" i="15"/>
  <c r="E274" i="15"/>
  <c r="D274" i="15"/>
  <c r="C284" i="15"/>
  <c r="E284" i="15"/>
  <c r="D284" i="15"/>
  <c r="D253" i="15"/>
  <c r="C253" i="15"/>
  <c r="E253" i="15"/>
  <c r="F114" i="15"/>
  <c r="F183" i="15"/>
  <c r="F131" i="15"/>
  <c r="G131" i="15"/>
  <c r="F124" i="15"/>
  <c r="G124" i="15"/>
  <c r="C219" i="15" s="1"/>
  <c r="F130" i="15"/>
  <c r="G130" i="15"/>
  <c r="F143" i="15"/>
  <c r="G143" i="15"/>
  <c r="C237" i="15" s="1"/>
  <c r="F173" i="15"/>
  <c r="G173" i="15"/>
  <c r="F148" i="15"/>
  <c r="G148" i="15"/>
  <c r="B201" i="15"/>
  <c r="C201" i="15" s="1"/>
  <c r="G142" i="15"/>
  <c r="G140" i="15"/>
  <c r="B199" i="15"/>
  <c r="C199" i="15" s="1"/>
  <c r="D239" i="15"/>
  <c r="C239" i="15"/>
  <c r="E239" i="15"/>
  <c r="C264" i="15"/>
  <c r="E264" i="15"/>
  <c r="D264" i="15"/>
  <c r="D277" i="15"/>
  <c r="C277" i="15"/>
  <c r="E277" i="15"/>
  <c r="F163" i="15"/>
  <c r="G163" i="15"/>
  <c r="E252" i="15"/>
  <c r="D252" i="15"/>
  <c r="C252" i="15"/>
  <c r="F158" i="15"/>
  <c r="G138" i="15" l="1"/>
  <c r="F232" i="15" s="1"/>
  <c r="B197" i="15"/>
  <c r="C197" i="15" s="1"/>
  <c r="E5" i="15" s="1"/>
  <c r="B295" i="15"/>
  <c r="D8" i="15" s="1"/>
  <c r="D295" i="15"/>
  <c r="F8" i="15" s="1"/>
  <c r="C8" i="15"/>
  <c r="C295" i="15"/>
  <c r="E8" i="15" s="1"/>
  <c r="E295" i="15"/>
  <c r="G8" i="15" s="1"/>
  <c r="C9" i="15"/>
  <c r="B296" i="15"/>
  <c r="D9" i="15" s="1"/>
  <c r="D296" i="15"/>
  <c r="F9" i="15" s="1"/>
  <c r="C296" i="15"/>
  <c r="E9" i="15" s="1"/>
  <c r="E296" i="15"/>
  <c r="G9" i="15" s="1"/>
  <c r="C7" i="15"/>
  <c r="B294" i="15"/>
  <c r="D7" i="15" s="1"/>
  <c r="D294" i="15"/>
  <c r="F7" i="15" s="1"/>
  <c r="E7" i="15"/>
  <c r="E294" i="15"/>
  <c r="G7" i="15" s="1"/>
  <c r="D225" i="15"/>
  <c r="E225" i="15"/>
  <c r="C225" i="15"/>
  <c r="F225" i="15"/>
  <c r="D226" i="15"/>
  <c r="C226" i="15"/>
  <c r="E226" i="15"/>
  <c r="F226" i="15"/>
  <c r="E224" i="15"/>
  <c r="D224" i="15"/>
  <c r="C224" i="15"/>
  <c r="F224" i="15"/>
  <c r="G224" i="15" s="1"/>
  <c r="E6" i="15"/>
  <c r="B293" i="15"/>
  <c r="D6" i="15" s="1"/>
  <c r="D293" i="15"/>
  <c r="F6" i="15" s="1"/>
  <c r="C6" i="15"/>
  <c r="E293" i="15"/>
  <c r="G6" i="15" s="1"/>
  <c r="G209" i="15"/>
  <c r="E219" i="15"/>
  <c r="D219" i="15"/>
  <c r="F219" i="15"/>
  <c r="G219" i="15" s="1"/>
  <c r="D214" i="15"/>
  <c r="F214" i="15"/>
  <c r="G214" i="15" s="1"/>
  <c r="C214" i="15"/>
  <c r="E214" i="15"/>
  <c r="D257" i="15"/>
  <c r="C257" i="15"/>
  <c r="E257" i="15"/>
  <c r="F257" i="15"/>
  <c r="G257" i="15" s="1"/>
  <c r="D234" i="15"/>
  <c r="C234" i="15"/>
  <c r="E234" i="15"/>
  <c r="F234" i="15"/>
  <c r="C233" i="15"/>
  <c r="E233" i="15"/>
  <c r="D233" i="15"/>
  <c r="F233" i="15"/>
  <c r="C236" i="15"/>
  <c r="D236" i="15"/>
  <c r="F236" i="15"/>
  <c r="E236" i="15"/>
  <c r="E242" i="15"/>
  <c r="D242" i="15"/>
  <c r="C242" i="15"/>
  <c r="F242" i="15"/>
  <c r="G242" i="15" s="1"/>
  <c r="D267" i="15"/>
  <c r="C267" i="15"/>
  <c r="E267" i="15"/>
  <c r="F267" i="15"/>
  <c r="G267" i="15" s="1"/>
  <c r="D237" i="15"/>
  <c r="E237" i="15"/>
  <c r="F237" i="15"/>
  <c r="G237" i="15" s="1"/>
  <c r="F235" i="15"/>
  <c r="E235" i="15"/>
  <c r="D235" i="15"/>
  <c r="C235" i="15"/>
  <c r="E262" i="15"/>
  <c r="D262" i="15"/>
  <c r="C262" i="15"/>
  <c r="F262" i="15"/>
  <c r="G262" i="15" s="1"/>
  <c r="E272" i="15"/>
  <c r="D272" i="15"/>
  <c r="C272" i="15"/>
  <c r="F272" i="15"/>
  <c r="G272" i="15" s="1"/>
  <c r="E282" i="15"/>
  <c r="D282" i="15"/>
  <c r="C282" i="15"/>
  <c r="F282" i="15"/>
  <c r="G282" i="15" s="1"/>
  <c r="D247" i="15"/>
  <c r="C247" i="15"/>
  <c r="E247" i="15"/>
  <c r="F247" i="15"/>
  <c r="G247" i="15" s="1"/>
  <c r="B7" i="68"/>
  <c r="B292" i="15" l="1"/>
  <c r="D5" i="15" s="1"/>
  <c r="D10" i="15" s="1"/>
  <c r="C5" i="15"/>
  <c r="D292" i="15"/>
  <c r="F5" i="15" s="1"/>
  <c r="F10" i="15" s="1"/>
  <c r="G5" i="15"/>
  <c r="G10" i="15" s="1"/>
  <c r="E10" i="15"/>
  <c r="C232" i="15"/>
  <c r="C287" i="15" s="1"/>
  <c r="G232" i="15"/>
  <c r="D232" i="15"/>
  <c r="D287" i="15" s="1"/>
  <c r="E232" i="15"/>
  <c r="E287" i="15" s="1"/>
  <c r="G225" i="15"/>
  <c r="F287" i="15"/>
  <c r="E68" i="17"/>
  <c r="F68" i="17"/>
  <c r="D68" i="17"/>
  <c r="G11" i="15" l="1"/>
  <c r="C5" i="30" s="1"/>
  <c r="E15" i="64" s="1"/>
  <c r="F15" i="64" s="1"/>
  <c r="E46" i="68"/>
  <c r="E22" i="68"/>
  <c r="E44" i="68"/>
  <c r="E42" i="68"/>
  <c r="E45" i="68"/>
  <c r="E43" i="68"/>
  <c r="E25" i="68"/>
  <c r="E21" i="68"/>
  <c r="E29" i="68"/>
  <c r="E23" i="68"/>
  <c r="E27" i="68"/>
  <c r="E31" i="68"/>
  <c r="E38" i="68"/>
  <c r="E40" i="68"/>
  <c r="E26" i="68"/>
  <c r="E24" i="68"/>
  <c r="E41" i="68"/>
  <c r="E30" i="68"/>
  <c r="E28" i="68"/>
  <c r="E37" i="68"/>
  <c r="E39" i="68"/>
  <c r="E37" i="2"/>
  <c r="D37" i="2"/>
  <c r="C145" i="2"/>
  <c r="D16" i="62" s="1"/>
  <c r="D145" i="2"/>
  <c r="E16" i="62" s="1"/>
  <c r="E143" i="2"/>
  <c r="E144" i="2"/>
  <c r="E142" i="2"/>
  <c r="E140" i="2"/>
  <c r="E130" i="2"/>
  <c r="E131" i="2"/>
  <c r="E132" i="2"/>
  <c r="E133" i="2"/>
  <c r="E134" i="2"/>
  <c r="E135" i="2"/>
  <c r="E136" i="2"/>
  <c r="E137" i="2"/>
  <c r="E138" i="2"/>
  <c r="E129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01" i="2"/>
  <c r="C6" i="65"/>
  <c r="O90" i="68" l="1"/>
  <c r="C6" i="68" s="1"/>
  <c r="E90" i="68"/>
  <c r="B6" i="68" s="1"/>
  <c r="E47" i="68"/>
  <c r="B5" i="68" s="1"/>
  <c r="D5" i="68" s="1"/>
  <c r="C19" i="30" s="1"/>
  <c r="E6" i="65"/>
  <c r="C18" i="30" s="1"/>
  <c r="E19" i="64" s="1"/>
  <c r="F19" i="64" s="1"/>
  <c r="E145" i="2"/>
  <c r="F16" i="62" s="1"/>
  <c r="D6" i="68" l="1"/>
  <c r="C20" i="30" s="1"/>
  <c r="C14" i="30"/>
  <c r="C4" i="62"/>
  <c r="C7" i="62" s="1"/>
  <c r="B10" i="68"/>
  <c r="F65" i="17"/>
  <c r="E65" i="17"/>
  <c r="I55" i="17"/>
  <c r="C16" i="30"/>
  <c r="D71" i="17"/>
  <c r="H60" i="17" l="1"/>
  <c r="H71" i="17" s="1"/>
  <c r="H59" i="17"/>
  <c r="G59" i="17"/>
  <c r="G65" i="17" s="1"/>
  <c r="G60" i="17"/>
  <c r="G71" i="17" s="1"/>
  <c r="E9" i="17"/>
  <c r="G68" i="17"/>
  <c r="F71" i="17"/>
  <c r="E71" i="17"/>
  <c r="F55" i="17"/>
  <c r="E69" i="17" s="1"/>
  <c r="E55" i="17"/>
  <c r="E61" i="2"/>
  <c r="E56" i="2"/>
  <c r="E58" i="2" s="1"/>
  <c r="D69" i="17" l="1"/>
  <c r="D70" i="17"/>
  <c r="E66" i="17"/>
  <c r="E70" i="17"/>
  <c r="D67" i="17"/>
  <c r="D75" i="17" s="1"/>
  <c r="H65" i="17"/>
  <c r="H68" i="17"/>
  <c r="E67" i="17"/>
  <c r="D10" i="68" l="1"/>
  <c r="C7" i="68"/>
  <c r="C10" i="68" s="1"/>
  <c r="D36" i="2"/>
  <c r="E33" i="2"/>
  <c r="D33" i="2"/>
  <c r="E32" i="2"/>
  <c r="D32" i="2"/>
  <c r="E31" i="2"/>
  <c r="D31" i="2"/>
  <c r="D27" i="2"/>
  <c r="E30" i="2"/>
  <c r="E29" i="2"/>
  <c r="E28" i="2"/>
  <c r="D30" i="2"/>
  <c r="D29" i="2"/>
  <c r="D28" i="2"/>
  <c r="E27" i="2"/>
  <c r="E26" i="2"/>
  <c r="D26" i="2"/>
  <c r="E25" i="2"/>
  <c r="D25" i="2"/>
  <c r="E24" i="2"/>
  <c r="D24" i="2"/>
  <c r="E23" i="2"/>
  <c r="F77" i="17" s="1"/>
  <c r="G17" i="17" s="1"/>
  <c r="D23" i="2"/>
  <c r="E77" i="17" s="1"/>
  <c r="F17" i="17" s="1"/>
  <c r="E22" i="2"/>
  <c r="D22" i="2"/>
  <c r="E21" i="2"/>
  <c r="D21" i="2"/>
  <c r="E20" i="2"/>
  <c r="D20" i="2"/>
  <c r="E19" i="2"/>
  <c r="D19" i="2"/>
  <c r="E18" i="2"/>
  <c r="D18" i="2"/>
  <c r="E17" i="2"/>
  <c r="D17" i="2"/>
  <c r="E16" i="2"/>
  <c r="D16" i="2"/>
  <c r="E15" i="2"/>
  <c r="D15" i="2"/>
  <c r="E14" i="2"/>
  <c r="D14" i="2"/>
  <c r="D77" i="17"/>
  <c r="E9" i="2"/>
  <c r="E12" i="2"/>
  <c r="D12" i="2"/>
  <c r="E11" i="2"/>
  <c r="E10" i="2"/>
  <c r="D10" i="2"/>
  <c r="D9" i="2"/>
  <c r="E8" i="2"/>
  <c r="E5" i="2"/>
  <c r="D5" i="2"/>
  <c r="E17" i="17" l="1"/>
  <c r="H17" i="17"/>
  <c r="E6" i="17" s="1"/>
  <c r="E75" i="17"/>
  <c r="F76" i="17"/>
  <c r="G16" i="17" s="1"/>
  <c r="E78" i="17"/>
  <c r="F18" i="17" s="1"/>
  <c r="C21" i="30"/>
  <c r="C22" i="30" s="1"/>
  <c r="E20" i="64" s="1"/>
  <c r="F20" i="64" s="1"/>
  <c r="E76" i="17"/>
  <c r="F16" i="17" s="1"/>
  <c r="F78" i="17"/>
  <c r="G18" i="17" s="1"/>
  <c r="F75" i="17"/>
  <c r="G15" i="17" s="1"/>
  <c r="E15" i="17"/>
  <c r="E79" i="17"/>
  <c r="F19" i="17" s="1"/>
  <c r="F79" i="17"/>
  <c r="G19" i="17" s="1"/>
  <c r="D76" i="17"/>
  <c r="D78" i="17"/>
  <c r="D79" i="17"/>
  <c r="D8" i="2"/>
  <c r="E18" i="17" l="1"/>
  <c r="H18" i="17"/>
  <c r="E7" i="17" s="1"/>
  <c r="F15" i="17"/>
  <c r="E19" i="17"/>
  <c r="H19" i="17"/>
  <c r="E16" i="17"/>
  <c r="H16" i="17"/>
  <c r="E5" i="17" s="1"/>
  <c r="C8" i="30" s="1"/>
  <c r="F80" i="17"/>
  <c r="C9" i="30"/>
  <c r="E80" i="17"/>
  <c r="G7" i="2"/>
  <c r="I7" i="2" s="1"/>
  <c r="I11" i="2"/>
  <c r="G11" i="2"/>
  <c r="I12" i="2"/>
  <c r="D80" i="17"/>
  <c r="G80" i="17" l="1"/>
  <c r="H15" i="17"/>
  <c r="E4" i="17" s="1"/>
  <c r="E8" i="17"/>
  <c r="C11" i="30" s="1"/>
  <c r="C13" i="30"/>
  <c r="H20" i="17" l="1"/>
  <c r="C17" i="30"/>
  <c r="E18" i="64" s="1"/>
  <c r="F18" i="64" s="1"/>
  <c r="C7" i="30"/>
  <c r="F20" i="17"/>
  <c r="G20" i="17"/>
  <c r="E20" i="17"/>
  <c r="E10" i="17" l="1"/>
  <c r="C10" i="30"/>
  <c r="C12" i="30" s="1"/>
  <c r="C25" i="64"/>
  <c r="E17" i="64" l="1"/>
  <c r="D7" i="13"/>
  <c r="F17" i="64" l="1"/>
  <c r="E9" i="13"/>
  <c r="F9" i="13"/>
  <c r="D9" i="13" l="1"/>
  <c r="D12" i="13"/>
  <c r="C4" i="30" l="1"/>
  <c r="D13" i="13"/>
  <c r="E14" i="64" l="1"/>
  <c r="C28" i="30"/>
  <c r="D4" i="30" s="1"/>
  <c r="D25" i="64"/>
  <c r="K16" i="64"/>
  <c r="K20" i="64"/>
  <c r="K14" i="64"/>
  <c r="K18" i="64"/>
  <c r="K22" i="64"/>
  <c r="K19" i="64"/>
  <c r="K17" i="64"/>
  <c r="K21" i="64"/>
  <c r="K15" i="64"/>
  <c r="K23" i="64" l="1"/>
  <c r="F14" i="64"/>
  <c r="E23" i="64"/>
  <c r="L14" i="64" s="1"/>
  <c r="D15" i="30"/>
  <c r="D26" i="30"/>
  <c r="D14" i="30"/>
  <c r="D13" i="30"/>
  <c r="D24" i="30"/>
  <c r="D17" i="30"/>
  <c r="D21" i="30"/>
  <c r="D7" i="30"/>
  <c r="D22" i="30"/>
  <c r="D5" i="30"/>
  <c r="D10" i="30"/>
  <c r="D25" i="30"/>
  <c r="D11" i="30"/>
  <c r="D20" i="30"/>
  <c r="D6" i="30"/>
  <c r="D9" i="30"/>
  <c r="D27" i="30"/>
  <c r="D12" i="30"/>
  <c r="D8" i="30"/>
  <c r="D23" i="30"/>
  <c r="D19" i="30"/>
  <c r="D18" i="30"/>
  <c r="D16" i="30"/>
  <c r="L19" i="64" l="1"/>
  <c r="L20" i="64"/>
  <c r="F23" i="64"/>
  <c r="L22" i="64"/>
  <c r="E25" i="64"/>
  <c r="F25" i="64" s="1"/>
  <c r="L16" i="64"/>
  <c r="L18" i="64"/>
  <c r="L17" i="64"/>
  <c r="L21" i="64"/>
  <c r="L15" i="64"/>
  <c r="D28" i="30"/>
  <c r="L23" i="64" l="1"/>
</calcChain>
</file>

<file path=xl/comments1.xml><?xml version="1.0" encoding="utf-8"?>
<comments xmlns="http://schemas.openxmlformats.org/spreadsheetml/2006/main">
  <authors>
    <author>Sylvain Marcoux</author>
  </authors>
  <commentList>
    <comment ref="E44" authorId="0" shapeId="0">
      <text>
        <r>
          <rPr>
            <b/>
            <sz val="8"/>
            <color indexed="81"/>
            <rFont val="Tahoma"/>
            <family val="2"/>
          </rPr>
          <t>Sylvain Marcoux:</t>
        </r>
        <r>
          <rPr>
            <sz val="8"/>
            <color indexed="81"/>
            <rFont val="Tahoma"/>
            <family val="2"/>
          </rPr>
          <t xml:space="preserve">
Environnement Canada Rapport d'inventaire national 1990-2006 équation A3-65
</t>
        </r>
      </text>
    </comment>
  </commentList>
</comments>
</file>

<file path=xl/sharedStrings.xml><?xml version="1.0" encoding="utf-8"?>
<sst xmlns="http://schemas.openxmlformats.org/spreadsheetml/2006/main" count="2099" uniqueCount="914">
  <si>
    <t>Émissions des transports de la collectivité, véhicules</t>
  </si>
  <si>
    <t>Émissions totales de la collectivité (excluant véhicules corporatifs)</t>
  </si>
  <si>
    <t>Automobile</t>
  </si>
  <si>
    <t>Camion léger</t>
  </si>
  <si>
    <t>Motocyclette</t>
  </si>
  <si>
    <t>Autobus</t>
  </si>
  <si>
    <t>Camion lourd</t>
  </si>
  <si>
    <t>Type de véhicules</t>
  </si>
  <si>
    <t>Nombres</t>
  </si>
  <si>
    <t>Autobus scolaire</t>
  </si>
  <si>
    <t>Émissions de GES (tonnes)</t>
  </si>
  <si>
    <t>(litres)</t>
  </si>
  <si>
    <t>Coke</t>
  </si>
  <si>
    <t>Propane</t>
  </si>
  <si>
    <t>kWh</t>
  </si>
  <si>
    <t>L</t>
  </si>
  <si>
    <t>Total</t>
  </si>
  <si>
    <t>-</t>
  </si>
  <si>
    <t>Indicateurs</t>
  </si>
  <si>
    <t>Électricité</t>
  </si>
  <si>
    <t>Gaz naturel</t>
  </si>
  <si>
    <t>Mazout</t>
  </si>
  <si>
    <t>Essence</t>
  </si>
  <si>
    <t>Résidentiel</t>
  </si>
  <si>
    <t>Unité</t>
  </si>
  <si>
    <t>Valeurs des indicateurs</t>
  </si>
  <si>
    <t>Industriel</t>
  </si>
  <si>
    <t>Source d'énergie</t>
  </si>
  <si>
    <t>Unité de base</t>
  </si>
  <si>
    <t>(mètres cube)</t>
  </si>
  <si>
    <t>Source</t>
  </si>
  <si>
    <t>Mazout lourd</t>
  </si>
  <si>
    <t>Kérosène</t>
  </si>
  <si>
    <t>Diésel, source fixe</t>
  </si>
  <si>
    <t>kg Azote/kg protéines</t>
  </si>
  <si>
    <t>kg N2O/personne-an</t>
  </si>
  <si>
    <t>tonnes CO2/tonne de matière carboné</t>
  </si>
  <si>
    <t>matière carboné / déchet totaux</t>
  </si>
  <si>
    <t>Guide PCM p 26 citant MDDEP</t>
  </si>
  <si>
    <t>tonne CO2 / tonnes déchet totaux incinérés</t>
  </si>
  <si>
    <t>kg N2O / tonne déchet incinérés</t>
  </si>
  <si>
    <t>tonne N2O / tonne déchet incinérés</t>
  </si>
  <si>
    <t>Coefficient d'émissions de N2O par tonne de déchets incinérés</t>
  </si>
  <si>
    <t>Coefficient d'émissions de CO2 par tonne de déchets incinérés</t>
  </si>
  <si>
    <t>véhicule au propane</t>
  </si>
  <si>
    <t>essence</t>
  </si>
  <si>
    <t>diesel</t>
  </si>
  <si>
    <t>propane</t>
  </si>
  <si>
    <t>au prorata du nombre de véhicules immatriculés</t>
  </si>
  <si>
    <t>Catégories de gaz à effet de serre</t>
  </si>
  <si>
    <t>TOTAL</t>
  </si>
  <si>
    <t>ÉNERGIE</t>
  </si>
  <si>
    <t>a. Sources de combustion fixes</t>
  </si>
  <si>
    <t>Production d’électricité et de chaleur</t>
  </si>
  <si>
    <t>Exploitation minière et extraction de gaz et de pétrole</t>
  </si>
  <si>
    <t>Industries manufacturières</t>
  </si>
  <si>
    <t>Construction</t>
  </si>
  <si>
    <t>Commercial et institutionnel</t>
  </si>
  <si>
    <t>Agriculture et foresterie</t>
  </si>
  <si>
    <t>Transport aérien intérieur</t>
  </si>
  <si>
    <t>Transport routier</t>
  </si>
  <si>
    <t>Véhicules légers à essence</t>
  </si>
  <si>
    <t>Camions légers à essence</t>
  </si>
  <si>
    <t>Véhicules lourds à essence</t>
  </si>
  <si>
    <t>Motocyclettes</t>
  </si>
  <si>
    <t>Véhicules légers à moteur diesel</t>
  </si>
  <si>
    <t>Camions légers à moteur diesel</t>
  </si>
  <si>
    <t>Véhicules lourds à moteur diesel</t>
  </si>
  <si>
    <t>Véhicules au propane et au gaz naturel</t>
  </si>
  <si>
    <t>Transport ferroviaire</t>
  </si>
  <si>
    <t>Transport maritime intérieur</t>
  </si>
  <si>
    <t>Véhicules hors route à essence</t>
  </si>
  <si>
    <t>Véhicules hors route à moteur diesel</t>
  </si>
  <si>
    <t>Pipelines</t>
  </si>
  <si>
    <t>Pétrole et gaz naturel</t>
  </si>
  <si>
    <t>a. Produits minéraux</t>
  </si>
  <si>
    <t>Production de ciment</t>
  </si>
  <si>
    <t>Production de chaux</t>
  </si>
  <si>
    <t>b. Industries chimiques</t>
  </si>
  <si>
    <t>Production d’acide adipique</t>
  </si>
  <si>
    <t>c. Production de métaux</t>
  </si>
  <si>
    <t>Production de fer et d’acier</t>
  </si>
  <si>
    <t>Production d’aluminium</t>
  </si>
  <si>
    <t>AGRICULTURE</t>
  </si>
  <si>
    <t>a. Fermentation entérique</t>
  </si>
  <si>
    <t>b. Gestion des fumiers</t>
  </si>
  <si>
    <t>c. Sols agricoles</t>
  </si>
  <si>
    <t>Sources directes</t>
  </si>
  <si>
    <t>Sources indirectes</t>
  </si>
  <si>
    <t>DÉCHETS</t>
  </si>
  <si>
    <t>Année</t>
  </si>
  <si>
    <t>véhicule hors route diesel</t>
  </si>
  <si>
    <t>kg N2O / kg azote de déchets produits</t>
  </si>
  <si>
    <t>kg CH4 / tonnes boues incinérées</t>
  </si>
  <si>
    <t>kg N2O / tonnes boues incinérées</t>
  </si>
  <si>
    <t xml:space="preserve">Gaz naturel </t>
  </si>
  <si>
    <t>Matières résiduelles</t>
  </si>
  <si>
    <t>Éclairage</t>
  </si>
  <si>
    <t>Gaz naturel (mètre cube)</t>
  </si>
  <si>
    <t>Mazout no 2 (litre)</t>
  </si>
  <si>
    <t>Mazout no 6 (litre)</t>
  </si>
  <si>
    <t>2.5% de soufre</t>
  </si>
  <si>
    <t>1.0% de soufre</t>
  </si>
  <si>
    <t>0.5% de soufre</t>
  </si>
  <si>
    <t>GPL</t>
  </si>
  <si>
    <t>Diesel</t>
  </si>
  <si>
    <t>**Note : Les facteurs pour le CH4 et le N2O ne sont pas donnés car ils varient en fonction du type de véhicule et de l'efficacité des systèmes anti-pollution.</t>
  </si>
  <si>
    <t>Préparé par</t>
  </si>
  <si>
    <t>véhicule léger - diesel 1960-1982</t>
  </si>
  <si>
    <t>véhicule léger - diesel 1983-1995</t>
  </si>
  <si>
    <t>camion léger - diesel 1983-1995</t>
  </si>
  <si>
    <t>véhicule lourd - diesel - 1960-1982</t>
  </si>
  <si>
    <t>véhicule lourd - diesel - 1983-1995</t>
  </si>
  <si>
    <t>Rapport d'inventaire National 1990-2008</t>
  </si>
  <si>
    <t>Tableau A15-10 : Résumé des émissions de gaz à effet de serre pour le Québec, 1990-2008</t>
  </si>
  <si>
    <t>(kWh)</t>
  </si>
  <si>
    <t>électricité</t>
  </si>
  <si>
    <t>RIN 1990-2008 citant GIEC 2000</t>
  </si>
  <si>
    <t>proportion de carbone dans les matières carboné</t>
  </si>
  <si>
    <t>RIN 1990-2008</t>
  </si>
  <si>
    <t>Coefficient d'émissions de CH4, décomposition anaérobie des matières organiques présentes dans les eaux usée</t>
  </si>
  <si>
    <t>Population desservie (P)</t>
  </si>
  <si>
    <t>P: Population desservie (Nb de personne)</t>
  </si>
  <si>
    <t>Fosses septiques</t>
  </si>
  <si>
    <t>Eaux usées</t>
  </si>
  <si>
    <t>N/A</t>
  </si>
  <si>
    <t>Proportion des émission de la collectivité par rapport aux émissions de transport de la province du Québec</t>
  </si>
  <si>
    <t>Caractérisation des matières résiduelles au Québec, (Chamard/CRIQ/ROCHE) décembre 2000</t>
  </si>
  <si>
    <t>EC citant EPA 1995, technologie lit fluidisé - http://www.epa.gov/ttn/chief/ap42/ch02/final/c02s02.pdf - table 2.2.6</t>
  </si>
  <si>
    <t>Contenus en énergie : Chaudières commerciales</t>
  </si>
  <si>
    <t>Contenus en énergie : véhicules</t>
  </si>
  <si>
    <t>Facteur émissions matières résiduelles/eaux usées</t>
  </si>
  <si>
    <t>Contenus en énergie pour l'énergie électrique</t>
  </si>
  <si>
    <t>véhicule lourd - essence 1985-1995</t>
  </si>
  <si>
    <t>véhicule lourd - essence 1960-1984</t>
  </si>
  <si>
    <t>véhicule hors route essence</t>
  </si>
  <si>
    <t>DBO
(kg DBO / pers. / année)</t>
  </si>
  <si>
    <t>Unité 
de base</t>
  </si>
  <si>
    <t>RIN 1990-2009</t>
  </si>
  <si>
    <t>Coefficient d'émissions de N2O, traitement des eaux</t>
  </si>
  <si>
    <t>Environnement Canada, RIN 1990-2009</t>
  </si>
  <si>
    <t>Fraction d'azote dans le protéines (NIR 1990-2009 éq. A3-81)</t>
  </si>
  <si>
    <t>Coefficient d'émissions de CH4, incinération des boues de traitement</t>
  </si>
  <si>
    <t>Coefficient d'émissions de N2O, incinération des boues de traitement</t>
  </si>
  <si>
    <t>Agglomération de la Ville de Québec</t>
  </si>
  <si>
    <t>Immeubles</t>
  </si>
  <si>
    <t>Équipments motorisés</t>
  </si>
  <si>
    <t>RTC</t>
  </si>
  <si>
    <t>Transport hors route</t>
  </si>
  <si>
    <t>Agriculture</t>
  </si>
  <si>
    <t>Méthodologie 1 : Vente de carburant</t>
  </si>
  <si>
    <t>Méthodologie 2: Prorata du parc de véhicules</t>
  </si>
  <si>
    <t xml:space="preserve">Vente de carburant sur le territoire de l'agglomération de la Ville de Québec </t>
  </si>
  <si>
    <t>Émissions venant du transport routier au Québec sur l'année d'inventaire</t>
  </si>
  <si>
    <t xml:space="preserve"> Moins d'un an</t>
  </si>
  <si>
    <t xml:space="preserve">  1 an</t>
  </si>
  <si>
    <t xml:space="preserve">  2 ans</t>
  </si>
  <si>
    <t xml:space="preserve">  3 ans                </t>
  </si>
  <si>
    <t xml:space="preserve">  4 ans</t>
  </si>
  <si>
    <t xml:space="preserve">  5 ans</t>
  </si>
  <si>
    <t xml:space="preserve">  6 ans</t>
  </si>
  <si>
    <t xml:space="preserve">  7 ans</t>
  </si>
  <si>
    <t xml:space="preserve">  8 ans</t>
  </si>
  <si>
    <t xml:space="preserve">  9 ans</t>
  </si>
  <si>
    <t xml:space="preserve">  10 ans</t>
  </si>
  <si>
    <t xml:space="preserve">  11 ans ou plus</t>
  </si>
  <si>
    <t>Âge du véhicule</t>
  </si>
  <si>
    <t>Autobus totaux</t>
  </si>
  <si>
    <t xml:space="preserve">Essence </t>
  </si>
  <si>
    <t>Type de combustible</t>
  </si>
  <si>
    <t>1994 - 2003</t>
  </si>
  <si>
    <t>2004 - 2010</t>
  </si>
  <si>
    <t>Volume (litres)</t>
  </si>
  <si>
    <t>Ratio vente essence/diesel</t>
  </si>
  <si>
    <t>Essence (litre)</t>
  </si>
  <si>
    <t>Diesel (litre)</t>
  </si>
  <si>
    <t>Nombre moyen de personnes par ménage (2006)</t>
  </si>
  <si>
    <t>pers./habitat</t>
  </si>
  <si>
    <t>NA</t>
  </si>
  <si>
    <t>DMS Lac-Saint-Charles (Frankat/Sani-Gestion)</t>
  </si>
  <si>
    <t>DMS Ste-Foy (Sani-Gestion)</t>
  </si>
  <si>
    <t>Tonnage reçu (tonnes)</t>
  </si>
  <si>
    <t>N/D</t>
  </si>
  <si>
    <t>FERMÉ</t>
  </si>
  <si>
    <t>Sources des données (tonnage) pour 2002 et 2008</t>
  </si>
  <si>
    <r>
      <rPr>
        <sz val="8"/>
        <rFont val="Times New Roman"/>
        <family val="1"/>
      </rPr>
      <t xml:space="preserve">Communauté métropolitaine de Québec (décembre 2004) </t>
    </r>
    <r>
      <rPr>
        <i/>
        <sz val="8"/>
        <rFont val="Times New Roman"/>
        <family val="1"/>
      </rPr>
      <t>Plan de gestion des matières résiduelles de la Communauté métropolitaine de Québec Rive-Nord</t>
    </r>
  </si>
  <si>
    <t>http://www.reduiremesdechets.com/pgmr-doc.aspx</t>
  </si>
  <si>
    <t>Régression linéaire 1992-2002</t>
  </si>
  <si>
    <t>Régression linéaire 2002-2008</t>
  </si>
  <si>
    <r>
      <t>k (année</t>
    </r>
    <r>
      <rPr>
        <vertAlign val="superscript"/>
        <sz val="10"/>
        <rFont val="Times New Roman"/>
        <family val="1"/>
      </rPr>
      <t>-1</t>
    </r>
    <r>
      <rPr>
        <sz val="10"/>
        <rFont val="Times New Roman"/>
        <family val="1"/>
      </rPr>
      <t>)</t>
    </r>
  </si>
  <si>
    <r>
      <t>Lo (m</t>
    </r>
    <r>
      <rPr>
        <vertAlign val="superscript"/>
        <sz val="10"/>
        <rFont val="Times New Roman"/>
        <family val="1"/>
      </rPr>
      <t xml:space="preserve">3 </t>
    </r>
    <r>
      <rPr>
        <sz val="10"/>
        <rFont val="Times New Roman"/>
        <family val="1"/>
      </rPr>
      <t>CH</t>
    </r>
    <r>
      <rPr>
        <vertAlign val="subscript"/>
        <sz val="10"/>
        <rFont val="Times New Roman"/>
        <family val="1"/>
      </rPr>
      <t xml:space="preserve">4 </t>
    </r>
    <r>
      <rPr>
        <sz val="10"/>
        <rFont val="Times New Roman"/>
        <family val="1"/>
      </rPr>
      <t>/ t déchet)</t>
    </r>
  </si>
  <si>
    <t>Éléments</t>
  </si>
  <si>
    <t>Brique, béton et ciment</t>
  </si>
  <si>
    <t>Éléments finis</t>
  </si>
  <si>
    <t>Gypse</t>
  </si>
  <si>
    <t>Bois</t>
  </si>
  <si>
    <t>Autres résidus</t>
  </si>
  <si>
    <t>Papier et carton</t>
  </si>
  <si>
    <t>Verre</t>
  </si>
  <si>
    <t>Métaux</t>
  </si>
  <si>
    <t>Textiles</t>
  </si>
  <si>
    <t>Plastique</t>
  </si>
  <si>
    <t>Résidus domestiques dangereux (considéré comme liquide)</t>
  </si>
  <si>
    <t>Bardeaux d'asphalte</t>
  </si>
  <si>
    <t>(1) Recyc-Québec, Caractérisation des matières résiduelles au Québec [Caractérisation des résidus de CRD réalisée en 2005]</t>
  </si>
  <si>
    <t xml:space="preserve">http://www.recyc-quebec.gouv.qc.ca/prorecyc/docs/caracterisation_mat_resi.pdf </t>
  </si>
  <si>
    <t xml:space="preserve">http://unfccc.int/national_reports/annex_i_ghg_inventories/national_inventories_submissions/items/5888.php </t>
  </si>
  <si>
    <t xml:space="preserve">MCF = </t>
  </si>
  <si>
    <t>(managed solid waste disposal site)</t>
  </si>
  <si>
    <t>DOC =</t>
  </si>
  <si>
    <t xml:space="preserve"> varie selon le type de déchet</t>
  </si>
  <si>
    <t>(déchets comprenant de la lignine)</t>
  </si>
  <si>
    <t>F = 0,5</t>
  </si>
  <si>
    <t>Fraction de méthane dans le gaz d'enfouissement</t>
  </si>
  <si>
    <t>déchets en place</t>
  </si>
  <si>
    <t>biogaz</t>
  </si>
  <si>
    <t>tonnes</t>
  </si>
  <si>
    <t xml:space="preserve">tonnes </t>
  </si>
  <si>
    <t>CO2</t>
  </si>
  <si>
    <t>FACTEURS ÉMISSIONS GIEC</t>
  </si>
  <si>
    <t>Avion</t>
  </si>
  <si>
    <t>A300</t>
  </si>
  <si>
    <t>A310</t>
  </si>
  <si>
    <t>CH4</t>
  </si>
  <si>
    <t>N2O</t>
  </si>
  <si>
    <t xml:space="preserve">Gros avions commerciaux </t>
  </si>
  <si>
    <t>A320</t>
  </si>
  <si>
    <t>Avions à réaction régionaux</t>
  </si>
  <si>
    <t>RJ-RJ85</t>
  </si>
  <si>
    <t>BAE 146</t>
  </si>
  <si>
    <t>CRJ-100ER</t>
  </si>
  <si>
    <t>ERJ-145</t>
  </si>
  <si>
    <t>FOKKER 100/70/28</t>
  </si>
  <si>
    <t>BAC111</t>
  </si>
  <si>
    <t>DORNIER 328 JET</t>
  </si>
  <si>
    <t>GULFSTREAM IV</t>
  </si>
  <si>
    <t>GULFSTREAM V</t>
  </si>
  <si>
    <t>YAK-42M</t>
  </si>
  <si>
    <t>Avions à réaction à faible poussée</t>
  </si>
  <si>
    <t>Avions à turbopropulseurs</t>
  </si>
  <si>
    <t xml:space="preserve">BEECH </t>
  </si>
  <si>
    <t>DHC8-100</t>
  </si>
  <si>
    <t>ATR72-500</t>
  </si>
  <si>
    <t>MOYENNE</t>
  </si>
  <si>
    <t>Total (CO2 eq)</t>
  </si>
  <si>
    <t>Transport aérien</t>
  </si>
  <si>
    <t>Nombre de mouvements d'avions</t>
  </si>
  <si>
    <t>Aéroport Jean-Lesage</t>
  </si>
  <si>
    <t>Longueur des voies exploitées pour le transport des marchandises et des voyageurs (km)</t>
  </si>
  <si>
    <t>(1) Estimation -  Ville de Québec, Schéma d'aménagement de la CUQ, Annexe G2 - Voies de circulation</t>
  </si>
  <si>
    <t>(2) Statistique Canada, Le transport ferroviaire au Canada, 2008.</t>
  </si>
  <si>
    <t>Trains - diesel</t>
  </si>
  <si>
    <t>Transport maritime</t>
  </si>
  <si>
    <t>Émissions totales de la collectivité</t>
  </si>
  <si>
    <t>Hors-réseau</t>
  </si>
  <si>
    <t xml:space="preserve">Ventes de carburants destinés aux véhicules automobiles, dans la province de Québec, Statistique Canada
</t>
  </si>
  <si>
    <t>Éthanol</t>
  </si>
  <si>
    <t xml:space="preserve">Essence et éthanol (%) </t>
  </si>
  <si>
    <t>Diesel  (%)</t>
  </si>
  <si>
    <t>Consommation de carburant par type de véhicule sur le territoire de l'agglomération de Québec</t>
  </si>
  <si>
    <t>%</t>
  </si>
  <si>
    <t>Bovins</t>
  </si>
  <si>
    <t>Veaux, moins de 1 ans</t>
  </si>
  <si>
    <t>Bouvillons, 1 an et plus</t>
  </si>
  <si>
    <t>Génisses et taures pour la boucherie ou l'engraissement</t>
  </si>
  <si>
    <t>Génisses et taures pour le remplacement de bovins de boucherie</t>
  </si>
  <si>
    <t>Vaches de boucherie</t>
  </si>
  <si>
    <t>Vaches laitières</t>
  </si>
  <si>
    <t>Taureaux, 1 ans et plus</t>
  </si>
  <si>
    <t>Porcins</t>
  </si>
  <si>
    <t>Verrats</t>
  </si>
  <si>
    <t>Truies</t>
  </si>
  <si>
    <t>Porcs &lt; 20kg</t>
  </si>
  <si>
    <t>Porcs 20-60 kg</t>
  </si>
  <si>
    <t>Porcs &gt; 60 kg</t>
  </si>
  <si>
    <t>Volaille</t>
  </si>
  <si>
    <t>Poulets</t>
  </si>
  <si>
    <t>Poulettes destinées à la ponte</t>
  </si>
  <si>
    <t>Poules</t>
  </si>
  <si>
    <t>Dindons et dindes</t>
  </si>
  <si>
    <t>Autres volailles</t>
  </si>
  <si>
    <t>Ovins</t>
  </si>
  <si>
    <t>Bélier non castrés</t>
  </si>
  <si>
    <t>Brebis</t>
  </si>
  <si>
    <t>Agneaux</t>
  </si>
  <si>
    <t>Autres animaux d'élevage</t>
  </si>
  <si>
    <t>Chevaux et poneys</t>
  </si>
  <si>
    <t>Sangliers</t>
  </si>
  <si>
    <t>Bisons</t>
  </si>
  <si>
    <t>Lamas et alpagas</t>
  </si>
  <si>
    <t>Chevreuils</t>
  </si>
  <si>
    <t>Élans (wapitis)</t>
  </si>
  <si>
    <t>Chèvres</t>
  </si>
  <si>
    <t>Caractéristiques des foins et grandes cultures de l'agglomération de Québec</t>
  </si>
  <si>
    <t>ha</t>
  </si>
  <si>
    <t>Blé</t>
  </si>
  <si>
    <t>Seigle</t>
  </si>
  <si>
    <t>Maïs en grain</t>
  </si>
  <si>
    <t>Maïs ensilage</t>
  </si>
  <si>
    <t>Luzerne</t>
  </si>
  <si>
    <t>Autre foin</t>
  </si>
  <si>
    <t>Graines de plantes fourragères</t>
  </si>
  <si>
    <t>Pommes de terre</t>
  </si>
  <si>
    <t>Pois secs</t>
  </si>
  <si>
    <t>Ginseng</t>
  </si>
  <si>
    <t>Sarrasin</t>
  </si>
  <si>
    <t>Avoine</t>
  </si>
  <si>
    <t>Orge</t>
  </si>
  <si>
    <t>Céréales mélangées</t>
  </si>
  <si>
    <t>Génisses et taures pour le remplacement de bovins laitiers</t>
  </si>
  <si>
    <t>kg N/ha</t>
  </si>
  <si>
    <t>kg N</t>
  </si>
  <si>
    <t>Émissions de N2O - Engrais synthétique</t>
  </si>
  <si>
    <t>Agglomération de Québec</t>
  </si>
  <si>
    <t>Solvants et autres produits</t>
  </si>
  <si>
    <t>Distribution de la consommation par type de carburant et par catégorie de véhicule au Québec, 2009</t>
  </si>
  <si>
    <t>Fermentation entérique</t>
  </si>
  <si>
    <t>Gestion du fumier</t>
  </si>
  <si>
    <t>Sols agricole</t>
  </si>
  <si>
    <t>Combustibles utilisés</t>
  </si>
  <si>
    <t>Électrique</t>
  </si>
  <si>
    <t xml:space="preserve">Huile </t>
  </si>
  <si>
    <t>Utilisation finale</t>
  </si>
  <si>
    <t>Type de bâtiment</t>
  </si>
  <si>
    <t>Coefficients d'intensité énergétique</t>
  </si>
  <si>
    <t>Maisons unifamiliales</t>
  </si>
  <si>
    <t>Appartements</t>
  </si>
  <si>
    <t>Maisons mobiles</t>
  </si>
  <si>
    <t>Climatisation</t>
  </si>
  <si>
    <t>Chauffage</t>
  </si>
  <si>
    <t>Chauffage de l'eau</t>
  </si>
  <si>
    <t>Appareils ménagers</t>
  </si>
  <si>
    <t>Consommation énergétique
(MJ)</t>
  </si>
  <si>
    <t>Pouvoir calorifique et facteurs d'émissions</t>
  </si>
  <si>
    <t>Valeur</t>
  </si>
  <si>
    <t>GJ/m3</t>
  </si>
  <si>
    <t>GJ/kWh</t>
  </si>
  <si>
    <t>litres</t>
  </si>
  <si>
    <t>Source énergie</t>
  </si>
  <si>
    <t>Quantité</t>
  </si>
  <si>
    <t>Consommation énergétique par utilisation finale, source d'énergie et par bâtiment (MJ)</t>
  </si>
  <si>
    <t>---</t>
  </si>
  <si>
    <t>Commerce de gros</t>
  </si>
  <si>
    <t>Commerce de détail</t>
  </si>
  <si>
    <t>Transport et entreposage</t>
  </si>
  <si>
    <t>Ind. Information et culturelle</t>
  </si>
  <si>
    <t>Mazout léger</t>
  </si>
  <si>
    <t>Équipements auxiliaires</t>
  </si>
  <si>
    <t>Moteurs auxiliaires</t>
  </si>
  <si>
    <t xml:space="preserve">Secteurs </t>
  </si>
  <si>
    <t>Inconnu</t>
  </si>
  <si>
    <t>Industrie de l'information et industrie culturelle</t>
  </si>
  <si>
    <t>Bureaux</t>
  </si>
  <si>
    <t>Services enseignement</t>
  </si>
  <si>
    <t>Soins de santé et assistance sociale</t>
  </si>
  <si>
    <t>Arts, spectacles et loisirs</t>
  </si>
  <si>
    <t>Hébergement et services de restauration</t>
  </si>
  <si>
    <t>Autres services</t>
  </si>
  <si>
    <t>Secteurs autres</t>
  </si>
  <si>
    <t>Services d'enseignements</t>
  </si>
  <si>
    <t>Hébergement et restauration</t>
  </si>
  <si>
    <t>Autres secteurs</t>
  </si>
  <si>
    <t>Consommation énergétique (MJ)</t>
  </si>
  <si>
    <t>Consommation énergétique par utilisation finale, source d'énergie et par secteur (MJ)</t>
  </si>
  <si>
    <t>Huile</t>
  </si>
  <si>
    <t>Maison unifamiliale</t>
  </si>
  <si>
    <t>Combustibles utilisés (%)</t>
  </si>
  <si>
    <t xml:space="preserve">Chauffe-eau </t>
  </si>
  <si>
    <t>Appartement</t>
  </si>
  <si>
    <t>Maison mobile</t>
  </si>
  <si>
    <t>Données réelles</t>
  </si>
  <si>
    <t>% par source et utilisation finale</t>
  </si>
  <si>
    <t>Émissions de GES par utilisation finale et source d'énergie</t>
  </si>
  <si>
    <t>Consommation énergétique par utilisation finale et source d'énergie (MJ)</t>
  </si>
  <si>
    <t>Données estimées - mazout léger, mazout lourd et propane</t>
  </si>
  <si>
    <t>Consommation énergétique (MJ) - avec données réelles</t>
  </si>
  <si>
    <t>Consommation énergétique par secteur et source d'énergie (MJ)</t>
  </si>
  <si>
    <t>Consommation énergétique par source d'énergie (MJ)</t>
  </si>
  <si>
    <t>Consommation énergétique  - avec données réelles</t>
  </si>
  <si>
    <t>Consommation énergétique  - avec données réelles (MJ)</t>
  </si>
  <si>
    <t>Secteur</t>
  </si>
  <si>
    <t>Émissions de GES par secteur</t>
  </si>
  <si>
    <t>Émissions de GES par utilisation finale</t>
  </si>
  <si>
    <t>Émissions de GES par source d'énergie</t>
  </si>
  <si>
    <t>Émissions totales des véhicules corporatifs</t>
  </si>
  <si>
    <t>(données provenant de la Ville de Québec)</t>
  </si>
  <si>
    <t>http://www.ipcc-nggip.iges.or.jp/public/2006gl/pdf/5_Volume5/V5_3_Ch3_SWDS.pdf</t>
  </si>
  <si>
    <t>(2) IPCC 2006, Volume 5: Waste</t>
  </si>
  <si>
    <t>(3) NIR 1990-2009 Part 2 Equation A3-75</t>
  </si>
  <si>
    <t>Proportion (%)</t>
  </si>
  <si>
    <t>(1) Proportions attribuées à l'aide des données sur la consommation énergétique de l'Office de l'efficacité énergétique.</t>
  </si>
  <si>
    <t>http://oee.nrcan.gc.ca/organisme/statistiques/bnce/apd/tableauxevolution2/tran_qc_8_f_4.cfm?attr=0</t>
  </si>
  <si>
    <t>(2) Hypothèse: afin de considérer les émissions de la portion Québec, le tonnage relié à la manutention de produit pétrolier (provenant de la raffinerie de Lévis) ont été soustrait au total.</t>
  </si>
  <si>
    <t>Charbon</t>
  </si>
  <si>
    <t>Pétrole brut</t>
  </si>
  <si>
    <t>Mazouts</t>
  </si>
  <si>
    <t>Essence et carburéacteur</t>
  </si>
  <si>
    <t>Coke (charbon et pétrole)</t>
  </si>
  <si>
    <t>Autres produits pétrolier</t>
  </si>
  <si>
    <t>Secteur corporatif</t>
  </si>
  <si>
    <t>Secteur collectif</t>
  </si>
  <si>
    <t>Facteurs d'émissions (cycle atterrissage décollage AD) pour les avions types (kg/AD)</t>
  </si>
  <si>
    <t>Cesena 525/560</t>
  </si>
  <si>
    <t>kg protéine/personne-an</t>
  </si>
  <si>
    <t>Maison attenante</t>
  </si>
  <si>
    <t>Éthanol (litre)</t>
  </si>
  <si>
    <t>Office de l'efficacité énergétique, Tableau 8 - Émissions de GES par mode de transport - Québec</t>
  </si>
  <si>
    <t>Données de vente de carburants corrigées sur le territoire de l'agglomération de Québec avec le ratio de vente de carburant de Statistique Canada</t>
  </si>
  <si>
    <t>Enquête sur 808 habitations de la Ville de Québec, 2006</t>
  </si>
  <si>
    <t>pieds cube</t>
  </si>
  <si>
    <t>Source : André Belisle, Président, AQLPA</t>
  </si>
  <si>
    <t>Les bois de chauffage utilisés sont l'érable, le frêne, le bouleau et l'hêtre</t>
  </si>
  <si>
    <t xml:space="preserve">Densité des bois de chauffage à 20% d'humidité (air dryed): </t>
  </si>
  <si>
    <t>Espèce</t>
  </si>
  <si>
    <t>Densité (lb/ft3)</t>
  </si>
  <si>
    <t>Frêne blanc</t>
  </si>
  <si>
    <t>Frêne Vert</t>
  </si>
  <si>
    <t>Hêtre américain</t>
  </si>
  <si>
    <t>Bouleau de papier</t>
  </si>
  <si>
    <t>Érable rouge</t>
  </si>
  <si>
    <t>Érable argenté</t>
  </si>
  <si>
    <t>Érable à sucre</t>
  </si>
  <si>
    <t>Chêne</t>
  </si>
  <si>
    <t>Moyenne</t>
  </si>
  <si>
    <t>kg/an</t>
  </si>
  <si>
    <t>Utilisation totale de bois de l'Agglomération de Québec</t>
  </si>
  <si>
    <t>GJ/kg</t>
  </si>
  <si>
    <t>kg</t>
  </si>
  <si>
    <t>Total (moins le corporatif)</t>
  </si>
  <si>
    <t>Émissions de GES (%)</t>
  </si>
  <si>
    <t>Équipements motorisés</t>
  </si>
  <si>
    <t>Version du modèle</t>
  </si>
  <si>
    <t>Année de bilan</t>
  </si>
  <si>
    <t>Date de version</t>
  </si>
  <si>
    <t>Mathieu Dumas</t>
  </si>
  <si>
    <t>Population</t>
  </si>
  <si>
    <t>Source: Institut de la statistique du Québec, Estimations de la population et Statistique Canada, Estimations de la population. Adapté par l'Institut de la statistique du Québec. http://www.stat.gouv.qc.ca/statistiques/population-demographie/bulletins/coupdoeil-no61.pdf</t>
  </si>
  <si>
    <t>SOMMAIRE HISTORIQUE (ÉMISSIONS CORPORATIVES ET COLLECTIVES)</t>
  </si>
  <si>
    <r>
      <t>Émissions de GES (ktéq.CO</t>
    </r>
    <r>
      <rPr>
        <b/>
        <vertAlign val="subscript"/>
        <sz val="12"/>
        <rFont val="Times New Roman"/>
        <family val="1"/>
      </rPr>
      <t>2</t>
    </r>
    <r>
      <rPr>
        <b/>
        <sz val="12"/>
        <rFont val="Times New Roman"/>
        <family val="1"/>
      </rPr>
      <t>)</t>
    </r>
  </si>
  <si>
    <t>Émissions collectives</t>
  </si>
  <si>
    <t>INVENTAIRE GLOBAL DES ÉMISSIONS DE GES DE L'AGGLOMÉRATION DE QUÉBEC</t>
  </si>
  <si>
    <t>SECTEUR</t>
  </si>
  <si>
    <t>POIDS</t>
  </si>
  <si>
    <t>EAUX USÉES</t>
  </si>
  <si>
    <t>SOURCE</t>
  </si>
  <si>
    <t>SOUS-TOTAL Transport routier</t>
  </si>
  <si>
    <t>Bâtiments résidentiels</t>
  </si>
  <si>
    <t>Bâtiments commerciaux et institutionnels</t>
  </si>
  <si>
    <t>Bâtiments et procédés industriels</t>
  </si>
  <si>
    <t>SOUS-TOTAL Transport hors-route</t>
  </si>
  <si>
    <t>DMS</t>
  </si>
  <si>
    <t>SOUS-TOTAL Agriculture</t>
  </si>
  <si>
    <t>Description des secteurs et sources d'émission associées</t>
  </si>
  <si>
    <t>Émissions générées par la combustion de carurant fossiles par les camions lourds</t>
  </si>
  <si>
    <t>Émissions générées par la combustion de carburants fossiles du transport aérien (kérosène)</t>
  </si>
  <si>
    <t>TRANSPORT ROUTIER</t>
  </si>
  <si>
    <t>MATIÈRES RÉSIDUELLES</t>
  </si>
  <si>
    <t>Émissions générées par la consommation d’énergie pour les bâtiments résidentiels (principalement gaz naturel et mazout)</t>
  </si>
  <si>
    <t>Émissions générées par la consommation d’énergie pour les bâtiments commerciaux et institutionnels (principalement gaz naturel et mazout)</t>
  </si>
  <si>
    <t>Émissions générées par la combustion de carurant fossiles par les automobiles</t>
  </si>
  <si>
    <t>Émissions générées par la combustion de carurant fossiles par les camions légers (les fourgonnettes, les camionnettes et les véhicules utilitaires sport)</t>
  </si>
  <si>
    <t>Émissions générées par la combustion de carurant fossiles par les motocyclettes</t>
  </si>
  <si>
    <t>Émissions générées par la combustion de carurant fossiles par les autobus</t>
  </si>
  <si>
    <t>Émissions générées par la combustion de carburants fossiles consommés hors réseau routier</t>
  </si>
  <si>
    <t>Émissions générées par la combustion de carburants fossiles du transport maritime</t>
  </si>
  <si>
    <t>Émissions générées par la combustion de carburants fossiles du transport ferroviaire</t>
  </si>
  <si>
    <t>Émissions associées à la disposition de matériaux secs dans les dépôts</t>
  </si>
  <si>
    <t>Émissions de méthane principalement, associées à la fermentation entérique des ruminants</t>
  </si>
  <si>
    <t>Émissions de méthane principalement, associées à la gestion des fumiers et lisiers</t>
  </si>
  <si>
    <t>Émissions associées au traitement privé des eaux usées</t>
  </si>
  <si>
    <t>TRANSPORT HORS-ROUTE</t>
  </si>
  <si>
    <r>
      <t>Émissions de CO</t>
    </r>
    <r>
      <rPr>
        <b/>
        <vertAlign val="subscript"/>
        <sz val="9"/>
        <rFont val="Times New Roman"/>
        <family val="1"/>
      </rPr>
      <t>2</t>
    </r>
    <r>
      <rPr>
        <b/>
        <sz val="9"/>
        <rFont val="Times New Roman"/>
        <family val="1"/>
      </rPr>
      <t xml:space="preserve">  (t) biogénique</t>
    </r>
  </si>
  <si>
    <r>
      <t>Émissions de CH</t>
    </r>
    <r>
      <rPr>
        <b/>
        <vertAlign val="subscript"/>
        <sz val="9"/>
        <rFont val="Times New Roman"/>
        <family val="1"/>
      </rPr>
      <t>4</t>
    </r>
    <r>
      <rPr>
        <b/>
        <sz val="9"/>
        <rFont val="Times New Roman"/>
        <family val="1"/>
      </rPr>
      <t xml:space="preserve">    (tonnes)</t>
    </r>
  </si>
  <si>
    <r>
      <t>Émissions de N</t>
    </r>
    <r>
      <rPr>
        <b/>
        <vertAlign val="subscript"/>
        <sz val="10"/>
        <rFont val="Times New Roman"/>
        <family val="1"/>
      </rPr>
      <t>2</t>
    </r>
    <r>
      <rPr>
        <b/>
        <sz val="10"/>
        <rFont val="Times New Roman"/>
        <family val="1"/>
      </rPr>
      <t>O (tonnes)</t>
    </r>
  </si>
  <si>
    <r>
      <t>Total GES (tonnes de CO</t>
    </r>
    <r>
      <rPr>
        <b/>
        <vertAlign val="subscript"/>
        <sz val="9"/>
        <rFont val="Times New Roman"/>
        <family val="1"/>
      </rPr>
      <t>2</t>
    </r>
    <r>
      <rPr>
        <b/>
        <sz val="9"/>
        <rFont val="Times New Roman"/>
        <family val="1"/>
      </rPr>
      <t>éq.)</t>
    </r>
  </si>
  <si>
    <r>
      <t>Émissions des GES calculées selon nouvelle méthodologie (avec caractérisation et les paramètres k et L</t>
    </r>
    <r>
      <rPr>
        <i/>
        <vertAlign val="subscript"/>
        <sz val="10"/>
        <rFont val="Times New Roman"/>
        <family val="1"/>
      </rPr>
      <t>o</t>
    </r>
    <r>
      <rPr>
        <i/>
        <sz val="10"/>
        <rFont val="Times New Roman"/>
        <family val="1"/>
      </rPr>
      <t xml:space="preserve"> mis à jour)</t>
    </r>
  </si>
  <si>
    <r>
      <t>Volume enfouis (m</t>
    </r>
    <r>
      <rPr>
        <b/>
        <vertAlign val="superscript"/>
        <sz val="10"/>
        <rFont val="Times New Roman"/>
        <family val="1"/>
      </rPr>
      <t>3</t>
    </r>
    <r>
      <rPr>
        <b/>
        <sz val="10"/>
        <rFont val="Times New Roman"/>
        <family val="1"/>
      </rPr>
      <t>)</t>
    </r>
  </si>
  <si>
    <r>
      <t>Paramètres utilisés pour le calcul des émissions de CH</t>
    </r>
    <r>
      <rPr>
        <b/>
        <vertAlign val="subscript"/>
        <sz val="10"/>
        <rFont val="Times New Roman"/>
        <family val="1"/>
      </rPr>
      <t>4</t>
    </r>
    <r>
      <rPr>
        <b/>
        <sz val="10"/>
        <rFont val="Times New Roman"/>
        <family val="1"/>
      </rPr>
      <t xml:space="preserve"> </t>
    </r>
  </si>
  <si>
    <r>
      <t>Gas density (1.013 bar and 20 °C) : 0.667 kg/m</t>
    </r>
    <r>
      <rPr>
        <i/>
        <vertAlign val="superscript"/>
        <sz val="8"/>
        <color indexed="8"/>
        <rFont val="Times New Roman"/>
        <family val="1"/>
      </rPr>
      <t>3</t>
    </r>
  </si>
  <si>
    <r>
      <t>Calcul du facteur de génération de méthane (L</t>
    </r>
    <r>
      <rPr>
        <vertAlign val="subscript"/>
        <sz val="9"/>
        <rFont val="Times New Roman"/>
        <family val="1"/>
      </rPr>
      <t>o)</t>
    </r>
  </si>
  <si>
    <r>
      <t>(L</t>
    </r>
    <r>
      <rPr>
        <i/>
        <vertAlign val="subscript"/>
        <sz val="9"/>
        <rFont val="Times New Roman"/>
        <family val="1"/>
      </rPr>
      <t>o</t>
    </r>
    <r>
      <rPr>
        <i/>
        <sz val="9"/>
        <rFont val="Times New Roman"/>
        <family val="1"/>
      </rPr>
      <t>) = MCF * DOC * DOC</t>
    </r>
    <r>
      <rPr>
        <i/>
        <vertAlign val="subscript"/>
        <sz val="9"/>
        <rFont val="Times New Roman"/>
        <family val="1"/>
      </rPr>
      <t>F</t>
    </r>
    <r>
      <rPr>
        <i/>
        <sz val="9"/>
        <rFont val="Times New Roman"/>
        <family val="1"/>
      </rPr>
      <t xml:space="preserve"> * F * 16/12 * 1000 kgCH</t>
    </r>
    <r>
      <rPr>
        <i/>
        <vertAlign val="subscript"/>
        <sz val="9"/>
        <rFont val="Times New Roman"/>
        <family val="1"/>
      </rPr>
      <t>4</t>
    </r>
    <r>
      <rPr>
        <i/>
        <sz val="9"/>
        <rFont val="Times New Roman"/>
        <family val="1"/>
      </rPr>
      <t>/tCH</t>
    </r>
    <r>
      <rPr>
        <i/>
        <vertAlign val="subscript"/>
        <sz val="9"/>
        <rFont val="Times New Roman"/>
        <family val="1"/>
      </rPr>
      <t>4</t>
    </r>
  </si>
  <si>
    <r>
      <t>DOC</t>
    </r>
    <r>
      <rPr>
        <vertAlign val="subscript"/>
        <sz val="9"/>
        <rFont val="Times New Roman"/>
        <family val="1"/>
      </rPr>
      <t>F</t>
    </r>
    <r>
      <rPr>
        <sz val="9"/>
        <rFont val="Times New Roman"/>
        <family val="1"/>
      </rPr>
      <t xml:space="preserve"> =</t>
    </r>
  </si>
  <si>
    <r>
      <t>CH</t>
    </r>
    <r>
      <rPr>
        <b/>
        <vertAlign val="subscript"/>
        <sz val="9"/>
        <rFont val="Times New Roman"/>
        <family val="1"/>
      </rPr>
      <t>4</t>
    </r>
    <r>
      <rPr>
        <b/>
        <sz val="9"/>
        <rFont val="Times New Roman"/>
        <family val="1"/>
      </rPr>
      <t xml:space="preserve"> emissions</t>
    </r>
  </si>
  <si>
    <r>
      <t>CO</t>
    </r>
    <r>
      <rPr>
        <b/>
        <vertAlign val="subscript"/>
        <sz val="9"/>
        <rFont val="Times New Roman"/>
        <family val="1"/>
      </rPr>
      <t>2</t>
    </r>
    <r>
      <rPr>
        <b/>
        <sz val="9"/>
        <rFont val="Times New Roman"/>
        <family val="1"/>
      </rPr>
      <t xml:space="preserve"> emissions</t>
    </r>
  </si>
  <si>
    <r>
      <t>tonnes CH</t>
    </r>
    <r>
      <rPr>
        <b/>
        <vertAlign val="subscript"/>
        <sz val="9"/>
        <rFont val="Times New Roman"/>
        <family val="1"/>
      </rPr>
      <t>4</t>
    </r>
  </si>
  <si>
    <r>
      <t>tonnes  CO</t>
    </r>
    <r>
      <rPr>
        <b/>
        <vertAlign val="subscript"/>
        <sz val="9"/>
        <rFont val="Times New Roman"/>
        <family val="1"/>
      </rPr>
      <t>2</t>
    </r>
  </si>
  <si>
    <r>
      <t>Volume (10</t>
    </r>
    <r>
      <rPr>
        <b/>
        <vertAlign val="superscript"/>
        <sz val="10"/>
        <rFont val="Times New Roman"/>
        <family val="1"/>
      </rPr>
      <t>3</t>
    </r>
    <r>
      <rPr>
        <b/>
        <sz val="10"/>
        <rFont val="Times New Roman"/>
        <family val="1"/>
      </rPr>
      <t xml:space="preserve"> litres)</t>
    </r>
  </si>
  <si>
    <r>
      <t>Type de véhicules</t>
    </r>
    <r>
      <rPr>
        <b/>
        <vertAlign val="superscript"/>
        <sz val="10"/>
        <rFont val="Times New Roman"/>
        <family val="1"/>
      </rPr>
      <t xml:space="preserve"> (1)</t>
    </r>
  </si>
  <si>
    <r>
      <t>Autobus</t>
    </r>
    <r>
      <rPr>
        <vertAlign val="superscript"/>
        <sz val="10"/>
        <rFont val="Times New Roman"/>
        <family val="1"/>
      </rPr>
      <t>(1)</t>
    </r>
  </si>
  <si>
    <r>
      <t>Autobus scolaire</t>
    </r>
    <r>
      <rPr>
        <vertAlign val="superscript"/>
        <sz val="10"/>
        <rFont val="Times New Roman"/>
        <family val="1"/>
      </rPr>
      <t>(1)</t>
    </r>
  </si>
  <si>
    <r>
      <t>Camion lourd</t>
    </r>
    <r>
      <rPr>
        <vertAlign val="superscript"/>
        <sz val="10"/>
        <rFont val="Times New Roman"/>
        <family val="1"/>
      </rPr>
      <t>(1)</t>
    </r>
  </si>
  <si>
    <r>
      <t>Coefficient CO</t>
    </r>
    <r>
      <rPr>
        <b/>
        <vertAlign val="subscript"/>
        <sz val="10"/>
        <rFont val="Times New Roman"/>
        <family val="1"/>
      </rPr>
      <t>2</t>
    </r>
    <r>
      <rPr>
        <b/>
        <sz val="10"/>
        <rFont val="Times New Roman"/>
        <family val="1"/>
      </rPr>
      <t xml:space="preserve"> (tonnes)</t>
    </r>
  </si>
  <si>
    <r>
      <t>Coefficient CH</t>
    </r>
    <r>
      <rPr>
        <b/>
        <vertAlign val="subscript"/>
        <sz val="10"/>
        <rFont val="Times New Roman"/>
        <family val="1"/>
      </rPr>
      <t>4</t>
    </r>
    <r>
      <rPr>
        <b/>
        <sz val="10"/>
        <rFont val="Times New Roman"/>
        <family val="1"/>
      </rPr>
      <t xml:space="preserve"> (tonnes)</t>
    </r>
  </si>
  <si>
    <r>
      <t>Coefficient N</t>
    </r>
    <r>
      <rPr>
        <b/>
        <vertAlign val="subscript"/>
        <sz val="10"/>
        <rFont val="Times New Roman"/>
        <family val="1"/>
      </rPr>
      <t>2</t>
    </r>
    <r>
      <rPr>
        <b/>
        <sz val="10"/>
        <rFont val="Times New Roman"/>
        <family val="1"/>
      </rPr>
      <t>O (tonnes)</t>
    </r>
  </si>
  <si>
    <r>
      <t>selon le taux quotidien de charge de DBO</t>
    </r>
    <r>
      <rPr>
        <vertAlign val="subscript"/>
        <sz val="10"/>
        <rFont val="Times New Roman"/>
        <family val="1"/>
      </rPr>
      <t>5</t>
    </r>
    <r>
      <rPr>
        <sz val="10"/>
        <rFont val="Times New Roman"/>
        <family val="1"/>
      </rPr>
      <t xml:space="preserve"> par habitant</t>
    </r>
  </si>
  <si>
    <r>
      <t>kg CH</t>
    </r>
    <r>
      <rPr>
        <vertAlign val="subscript"/>
        <sz val="10"/>
        <rFont val="Times New Roman"/>
        <family val="1"/>
      </rPr>
      <t>4</t>
    </r>
    <r>
      <rPr>
        <sz val="10"/>
        <rFont val="Times New Roman"/>
        <family val="1"/>
      </rPr>
      <t xml:space="preserve"> / capita x année</t>
    </r>
  </si>
  <si>
    <r>
      <t>kt CO</t>
    </r>
    <r>
      <rPr>
        <b/>
        <vertAlign val="subscript"/>
        <sz val="10"/>
        <rFont val="Times New Roman"/>
        <family val="1"/>
      </rPr>
      <t>2</t>
    </r>
  </si>
  <si>
    <r>
      <t>kt CH</t>
    </r>
    <r>
      <rPr>
        <b/>
        <vertAlign val="subscript"/>
        <sz val="10"/>
        <rFont val="Times New Roman"/>
        <family val="1"/>
      </rPr>
      <t>4</t>
    </r>
  </si>
  <si>
    <r>
      <t>kt N</t>
    </r>
    <r>
      <rPr>
        <b/>
        <vertAlign val="subscript"/>
        <sz val="10"/>
        <rFont val="Times New Roman"/>
        <family val="1"/>
      </rPr>
      <t>2</t>
    </r>
    <r>
      <rPr>
        <b/>
        <sz val="10"/>
        <rFont val="Times New Roman"/>
        <family val="1"/>
      </rPr>
      <t>O</t>
    </r>
  </si>
  <si>
    <r>
      <t>kt CO</t>
    </r>
    <r>
      <rPr>
        <b/>
        <vertAlign val="subscript"/>
        <sz val="10"/>
        <rFont val="Times New Roman"/>
        <family val="1"/>
      </rPr>
      <t>2</t>
    </r>
    <r>
      <rPr>
        <b/>
        <sz val="10"/>
        <rFont val="Times New Roman"/>
        <family val="1"/>
      </rPr>
      <t>éq.</t>
    </r>
  </si>
  <si>
    <t>SOURCE: Émissions de GES des dépôts de matériaux secs</t>
  </si>
  <si>
    <t>Émissions générées par les procédés industriels (émissions de procédés)</t>
  </si>
  <si>
    <t>Émissions générées par la consommation d’énergie pour les bâtiments industriels</t>
  </si>
  <si>
    <t>BÂTIMENTS</t>
  </si>
  <si>
    <t>SOURCE: Résidentiel</t>
  </si>
  <si>
    <t>SOURCE: Commercial et institutionnel</t>
  </si>
  <si>
    <t>INDUSTRIES</t>
  </si>
  <si>
    <t>AGRICOLE</t>
  </si>
  <si>
    <t>HALOCARBURES, SOLVANTS ET AUTRES PRODUITS</t>
  </si>
  <si>
    <t>COEFFICIENTS D'ÉMISSION</t>
  </si>
  <si>
    <t>RAPPORT D'INVENTAIRE NATIONAL (RIN) 2018</t>
  </si>
  <si>
    <t>b. Transport</t>
  </si>
  <si>
    <t>c. Sources fugitives</t>
  </si>
  <si>
    <t>PROCÉDÉS INDUSTRIELS</t>
  </si>
  <si>
    <t>Exploitation de la houille</t>
  </si>
  <si>
    <t xml:space="preserve">GES </t>
  </si>
  <si>
    <t xml:space="preserve">Formule chimique </t>
  </si>
  <si>
    <t xml:space="preserve">Valeurs de PRP (horizon de 100 ans) </t>
  </si>
  <si>
    <t xml:space="preserve">AR2 (1995) </t>
  </si>
  <si>
    <t xml:space="preserve">AR4 (2007) </t>
  </si>
  <si>
    <t xml:space="preserve">AR5 (2014) </t>
  </si>
  <si>
    <t xml:space="preserve">Dioxyde de carbone </t>
  </si>
  <si>
    <r>
      <t>CO</t>
    </r>
    <r>
      <rPr>
        <vertAlign val="subscript"/>
        <sz val="12"/>
        <rFont val="Times New Roman"/>
        <family val="1"/>
      </rPr>
      <t>2</t>
    </r>
  </si>
  <si>
    <t xml:space="preserve">Méthane </t>
  </si>
  <si>
    <r>
      <t>CH</t>
    </r>
    <r>
      <rPr>
        <vertAlign val="subscript"/>
        <sz val="12"/>
        <rFont val="Times New Roman"/>
        <family val="1"/>
      </rPr>
      <t>4</t>
    </r>
  </si>
  <si>
    <t xml:space="preserve">Protoxyde d’azote </t>
  </si>
  <si>
    <r>
      <t>N</t>
    </r>
    <r>
      <rPr>
        <vertAlign val="subscript"/>
        <sz val="12"/>
        <rFont val="Times New Roman"/>
        <family val="1"/>
      </rPr>
      <t>2</t>
    </r>
    <r>
      <rPr>
        <sz val="12"/>
        <rFont val="Times New Roman"/>
        <family val="1"/>
      </rPr>
      <t>O</t>
    </r>
  </si>
  <si>
    <t xml:space="preserve">POUVOIRS DE RÉCHAUFFEMENT PLANÉTAIRE DES PRINCIPAUX RÉFRIGÉRANTS </t>
  </si>
  <si>
    <t>Réfrigérant</t>
  </si>
  <si>
    <r>
      <t>CO</t>
    </r>
    <r>
      <rPr>
        <vertAlign val="subscript"/>
        <sz val="11"/>
        <rFont val="Times New Roman"/>
        <family val="1"/>
      </rPr>
      <t>2</t>
    </r>
  </si>
  <si>
    <r>
      <t>tCO</t>
    </r>
    <r>
      <rPr>
        <vertAlign val="subscript"/>
        <sz val="11"/>
        <rFont val="Times New Roman"/>
        <family val="1"/>
      </rPr>
      <t>2</t>
    </r>
    <r>
      <rPr>
        <sz val="12"/>
        <rFont val="Times New Roman"/>
        <family val="1"/>
      </rPr>
      <t>e/tCO</t>
    </r>
    <r>
      <rPr>
        <vertAlign val="subscript"/>
        <sz val="11"/>
        <rFont val="Times New Roman"/>
        <family val="1"/>
      </rPr>
      <t>2</t>
    </r>
  </si>
  <si>
    <t>http://www.ipcc.ch/publications_and_data/ar4/wg1/en/ch2s2-10-2.html</t>
  </si>
  <si>
    <t>R22</t>
  </si>
  <si>
    <r>
      <t>tCO</t>
    </r>
    <r>
      <rPr>
        <vertAlign val="subscript"/>
        <sz val="11"/>
        <rFont val="Times New Roman"/>
        <family val="1"/>
      </rPr>
      <t>2</t>
    </r>
    <r>
      <rPr>
        <sz val="12"/>
        <rFont val="Times New Roman"/>
        <family val="1"/>
      </rPr>
      <t>e/tR22</t>
    </r>
  </si>
  <si>
    <t>R125</t>
  </si>
  <si>
    <r>
      <t>tCO</t>
    </r>
    <r>
      <rPr>
        <vertAlign val="subscript"/>
        <sz val="11"/>
        <rFont val="Times New Roman"/>
        <family val="1"/>
      </rPr>
      <t>2</t>
    </r>
    <r>
      <rPr>
        <sz val="12"/>
        <rFont val="Times New Roman"/>
        <family val="1"/>
      </rPr>
      <t>e/tR125</t>
    </r>
  </si>
  <si>
    <t>R143A</t>
  </si>
  <si>
    <r>
      <t>tCO</t>
    </r>
    <r>
      <rPr>
        <vertAlign val="subscript"/>
        <sz val="11"/>
        <rFont val="Times New Roman"/>
        <family val="1"/>
      </rPr>
      <t>2</t>
    </r>
    <r>
      <rPr>
        <sz val="12"/>
        <rFont val="Times New Roman"/>
        <family val="1"/>
      </rPr>
      <t>e/tR143A</t>
    </r>
  </si>
  <si>
    <t>R507</t>
  </si>
  <si>
    <r>
      <t>tCO</t>
    </r>
    <r>
      <rPr>
        <vertAlign val="subscript"/>
        <sz val="11"/>
        <rFont val="Times New Roman"/>
        <family val="1"/>
      </rPr>
      <t>2</t>
    </r>
    <r>
      <rPr>
        <sz val="12"/>
        <rFont val="Times New Roman"/>
        <family val="1"/>
      </rPr>
      <t>e/tR507A</t>
    </r>
  </si>
  <si>
    <t>50% HFC-125 et 50% HFC-143a</t>
  </si>
  <si>
    <t>R134A</t>
  </si>
  <si>
    <r>
      <t>tCO</t>
    </r>
    <r>
      <rPr>
        <vertAlign val="subscript"/>
        <sz val="11"/>
        <rFont val="Times New Roman"/>
        <family val="1"/>
      </rPr>
      <t>2</t>
    </r>
    <r>
      <rPr>
        <sz val="12"/>
        <rFont val="Times New Roman"/>
        <family val="1"/>
      </rPr>
      <t>e/tR134a</t>
    </r>
  </si>
  <si>
    <t>R404a</t>
  </si>
  <si>
    <r>
      <t>tCO</t>
    </r>
    <r>
      <rPr>
        <vertAlign val="subscript"/>
        <sz val="11"/>
        <rFont val="Times New Roman"/>
        <family val="1"/>
      </rPr>
      <t>2</t>
    </r>
    <r>
      <rPr>
        <sz val="12"/>
        <rFont val="Times New Roman"/>
        <family val="1"/>
      </rPr>
      <t>e/tR404a</t>
    </r>
  </si>
  <si>
    <t>52% R143a, 44% R125 and 4% R134a</t>
  </si>
  <si>
    <t>R32</t>
  </si>
  <si>
    <r>
      <t>tCO</t>
    </r>
    <r>
      <rPr>
        <vertAlign val="subscript"/>
        <sz val="11"/>
        <rFont val="Times New Roman"/>
        <family val="1"/>
      </rPr>
      <t>2</t>
    </r>
    <r>
      <rPr>
        <sz val="12"/>
        <rFont val="Times New Roman"/>
        <family val="1"/>
      </rPr>
      <t>e/tR32</t>
    </r>
  </si>
  <si>
    <t>R407C</t>
  </si>
  <si>
    <r>
      <t>tCO</t>
    </r>
    <r>
      <rPr>
        <vertAlign val="subscript"/>
        <sz val="11"/>
        <rFont val="Times New Roman"/>
        <family val="1"/>
      </rPr>
      <t>2</t>
    </r>
    <r>
      <rPr>
        <sz val="12"/>
        <rFont val="Times New Roman"/>
        <family val="1"/>
      </rPr>
      <t>e/tR407C</t>
    </r>
  </si>
  <si>
    <t>52% R134a, 25% R125 and 23% R32</t>
  </si>
  <si>
    <t>R410A</t>
  </si>
  <si>
    <r>
      <t>tCO</t>
    </r>
    <r>
      <rPr>
        <vertAlign val="subscript"/>
        <sz val="11"/>
        <rFont val="Times New Roman"/>
        <family val="1"/>
      </rPr>
      <t>2</t>
    </r>
    <r>
      <rPr>
        <sz val="12"/>
        <rFont val="Times New Roman"/>
        <family val="1"/>
      </rPr>
      <t>e/tR410A</t>
    </r>
  </si>
  <si>
    <t>https://www.canada.ca/fr/environnement-changement-climatique/services/changements-climatiques/emissions-gaz-effet-serre/inventaire.html</t>
  </si>
  <si>
    <t>Source: Rapport inventaire national (RIB) 2017 - PARTIE III (p.24)</t>
  </si>
  <si>
    <r>
      <t>ktéq.CO</t>
    </r>
    <r>
      <rPr>
        <b/>
        <vertAlign val="subscript"/>
        <sz val="10"/>
        <rFont val="Times New Roman"/>
        <family val="1"/>
      </rPr>
      <t>2</t>
    </r>
    <r>
      <rPr>
        <b/>
        <sz val="10"/>
        <rFont val="Times New Roman"/>
        <family val="1"/>
      </rPr>
      <t xml:space="preserve"> HFC</t>
    </r>
  </si>
  <si>
    <r>
      <t>ktéq.CO</t>
    </r>
    <r>
      <rPr>
        <b/>
        <vertAlign val="subscript"/>
        <sz val="10"/>
        <rFont val="Times New Roman"/>
        <family val="1"/>
      </rPr>
      <t>2</t>
    </r>
    <r>
      <rPr>
        <b/>
        <sz val="10"/>
        <rFont val="Times New Roman"/>
        <family val="1"/>
      </rPr>
      <t xml:space="preserve"> PFC</t>
    </r>
  </si>
  <si>
    <r>
      <t>ktéq.CO</t>
    </r>
    <r>
      <rPr>
        <b/>
        <vertAlign val="subscript"/>
        <sz val="10"/>
        <rFont val="Times New Roman"/>
        <family val="1"/>
      </rPr>
      <t>2</t>
    </r>
    <r>
      <rPr>
        <b/>
        <sz val="10"/>
        <rFont val="Times New Roman"/>
        <family val="1"/>
      </rPr>
      <t xml:space="preserve"> SF</t>
    </r>
    <r>
      <rPr>
        <b/>
        <vertAlign val="subscript"/>
        <sz val="10"/>
        <rFont val="Times New Roman"/>
        <family val="1"/>
      </rPr>
      <t>6</t>
    </r>
  </si>
  <si>
    <r>
      <t>ktéq.CO</t>
    </r>
    <r>
      <rPr>
        <b/>
        <vertAlign val="subscript"/>
        <sz val="10"/>
        <rFont val="Times New Roman"/>
        <family val="1"/>
      </rPr>
      <t>2</t>
    </r>
    <r>
      <rPr>
        <b/>
        <sz val="10"/>
        <rFont val="Times New Roman"/>
        <family val="1"/>
      </rPr>
      <t xml:space="preserve"> NF</t>
    </r>
    <r>
      <rPr>
        <b/>
        <vertAlign val="subscript"/>
        <sz val="10"/>
        <rFont val="Times New Roman"/>
        <family val="1"/>
      </rPr>
      <t>3</t>
    </r>
  </si>
  <si>
    <t>Industrie de raffinage du pétrole</t>
  </si>
  <si>
    <t>Autres moyens de transport</t>
  </si>
  <si>
    <t>Utilisation de produits minéraux</t>
  </si>
  <si>
    <t>SF6 utilisé dans les usines de fonte et de moulage du magnésium</t>
  </si>
  <si>
    <t>PFC</t>
  </si>
  <si>
    <r>
      <t>SF</t>
    </r>
    <r>
      <rPr>
        <vertAlign val="subscript"/>
        <sz val="12"/>
        <rFont val="Times New Roman"/>
        <family val="1"/>
      </rPr>
      <t>6</t>
    </r>
  </si>
  <si>
    <r>
      <t>NF</t>
    </r>
    <r>
      <rPr>
        <vertAlign val="subscript"/>
        <sz val="12"/>
        <rFont val="Times New Roman"/>
        <family val="1"/>
      </rPr>
      <t>3</t>
    </r>
  </si>
  <si>
    <r>
      <t>d. Production et consommation d'halocarbures, de SF</t>
    </r>
    <r>
      <rPr>
        <b/>
        <vertAlign val="subscript"/>
        <sz val="9"/>
        <rFont val="Times New Roman"/>
        <family val="1"/>
      </rPr>
      <t xml:space="preserve">6 </t>
    </r>
    <r>
      <rPr>
        <b/>
        <sz val="9"/>
        <rFont val="Times New Roman"/>
        <family val="1"/>
      </rPr>
      <t>et de NF</t>
    </r>
    <r>
      <rPr>
        <b/>
        <vertAlign val="subscript"/>
        <sz val="9"/>
        <rFont val="Times New Roman"/>
        <family val="1"/>
      </rPr>
      <t>3</t>
    </r>
  </si>
  <si>
    <t>e. Produits non énergétiques provenant de combustibles et de l'utilisatrion de solvant</t>
  </si>
  <si>
    <t>f.  Fabrication et utilisation d'autres produits</t>
  </si>
  <si>
    <t>d. Incinération des résidus agricoles dans les champs</t>
  </si>
  <si>
    <t>e. Chaulage, application d'urée et autres engrais carbonés</t>
  </si>
  <si>
    <t>b. Traitement biologique des déchets solides</t>
  </si>
  <si>
    <t>a. Évacuation des déchets solides</t>
  </si>
  <si>
    <t>b. Traitement et rejet des eaux usées</t>
  </si>
  <si>
    <t>c. Incinération et combustion à l'air libre des déchets</t>
  </si>
  <si>
    <t>Bâtiments</t>
  </si>
  <si>
    <t>Nombre de propriétés qui déversent leurs eaux usées dans des installations septiques.</t>
  </si>
  <si>
    <t>propriétés</t>
  </si>
  <si>
    <r>
      <t>DBO</t>
    </r>
    <r>
      <rPr>
        <vertAlign val="subscript"/>
        <sz val="12"/>
        <rFont val="Times New Roman"/>
        <family val="1"/>
      </rPr>
      <t>boue</t>
    </r>
    <r>
      <rPr>
        <sz val="12"/>
        <rFont val="Times New Roman"/>
        <family val="1"/>
      </rPr>
      <t xml:space="preserve"> = Qte de DBO dans les boues qui ont été vidangées (kg DBO/année)</t>
    </r>
  </si>
  <si>
    <t>Source : Environnement Canada 1990-2017. Rapport d'Inventaire National. Partie 2. A3.6.4.1.</t>
  </si>
  <si>
    <t xml:space="preserve">Volume total de boues vidangées </t>
  </si>
  <si>
    <r>
      <t>m</t>
    </r>
    <r>
      <rPr>
        <vertAlign val="superscript"/>
        <sz val="12"/>
        <rFont val="Times New Roman"/>
        <family val="1"/>
      </rPr>
      <t>3</t>
    </r>
  </si>
  <si>
    <r>
      <t>FE</t>
    </r>
    <r>
      <rPr>
        <vertAlign val="subscript"/>
        <sz val="12"/>
        <rFont val="Times New Roman"/>
        <family val="1"/>
      </rPr>
      <t>CH4</t>
    </r>
    <r>
      <rPr>
        <sz val="12"/>
        <rFont val="Times New Roman"/>
        <family val="1"/>
      </rPr>
      <t xml:space="preserve">: Facteur d'émission du CH4 </t>
    </r>
  </si>
  <si>
    <t>kgCH4/kg DBO5</t>
  </si>
  <si>
    <t xml:space="preserve">DBO: Demande biologique en oxygène dans les eaux usée per capita </t>
  </si>
  <si>
    <t>kg DBO/personne/jour</t>
  </si>
  <si>
    <t xml:space="preserve">Source: Volume de boues selon le tableau envoyé par Sophie Williamson, Première Technicienne en administration, Service du traitement des eaux (courriel reçu par courriel le 2 août 2019)
</t>
  </si>
  <si>
    <t>Source: ISQ, 2016. http://www.stat.gouv.qc.ca/statistiques/population-demographie/familles-menages/tableau_03.htm</t>
  </si>
  <si>
    <t>Source: courriel reçu de Matthieu Alibert le 2 août 2019</t>
  </si>
  <si>
    <t xml:space="preserve"> kg DBO/m3.</t>
  </si>
  <si>
    <r>
      <t>Émissions de CH</t>
    </r>
    <r>
      <rPr>
        <i/>
        <vertAlign val="subscript"/>
        <sz val="12"/>
        <rFont val="Times New Roman"/>
        <family val="1"/>
      </rPr>
      <t>4</t>
    </r>
    <r>
      <rPr>
        <i/>
        <sz val="12"/>
        <rFont val="Times New Roman"/>
        <family val="1"/>
      </rPr>
      <t xml:space="preserve"> = (P * DBO - DBO</t>
    </r>
    <r>
      <rPr>
        <i/>
        <vertAlign val="subscript"/>
        <sz val="12"/>
        <rFont val="Times New Roman"/>
        <family val="1"/>
      </rPr>
      <t>boue</t>
    </r>
    <r>
      <rPr>
        <i/>
        <sz val="12"/>
        <rFont val="Times New Roman"/>
        <family val="1"/>
      </rPr>
      <t>) * FE</t>
    </r>
    <r>
      <rPr>
        <i/>
        <vertAlign val="subscript"/>
        <sz val="12"/>
        <rFont val="Times New Roman"/>
        <family val="1"/>
      </rPr>
      <t>CH4</t>
    </r>
  </si>
  <si>
    <r>
      <t>Volume des boues vidangées (m</t>
    </r>
    <r>
      <rPr>
        <b/>
        <vertAlign val="superscript"/>
        <sz val="12"/>
        <rFont val="Times New Roman"/>
        <family val="1"/>
      </rPr>
      <t>3</t>
    </r>
    <r>
      <rPr>
        <b/>
        <sz val="12"/>
        <rFont val="Times New Roman"/>
        <family val="1"/>
      </rPr>
      <t>)</t>
    </r>
  </si>
  <si>
    <r>
      <t>FE(CH</t>
    </r>
    <r>
      <rPr>
        <b/>
        <vertAlign val="subscript"/>
        <sz val="12"/>
        <rFont val="Times New Roman"/>
        <family val="1"/>
      </rPr>
      <t>4</t>
    </r>
    <r>
      <rPr>
        <b/>
        <sz val="12"/>
        <rFont val="Times New Roman"/>
        <family val="1"/>
      </rPr>
      <t>)
(kg CH</t>
    </r>
    <r>
      <rPr>
        <b/>
        <vertAlign val="subscript"/>
        <sz val="12"/>
        <rFont val="Times New Roman"/>
        <family val="1"/>
      </rPr>
      <t>4</t>
    </r>
    <r>
      <rPr>
        <b/>
        <sz val="12"/>
        <rFont val="Times New Roman"/>
        <family val="1"/>
      </rPr>
      <t>/kgDBO)</t>
    </r>
  </si>
  <si>
    <r>
      <t>tCH</t>
    </r>
    <r>
      <rPr>
        <b/>
        <vertAlign val="subscript"/>
        <sz val="12"/>
        <rFont val="Times New Roman"/>
        <family val="1"/>
      </rPr>
      <t xml:space="preserve">4 </t>
    </r>
  </si>
  <si>
    <r>
      <t>téq.CO</t>
    </r>
    <r>
      <rPr>
        <b/>
        <vertAlign val="subscript"/>
        <sz val="12"/>
        <rFont val="Times New Roman"/>
        <family val="1"/>
      </rPr>
      <t>2</t>
    </r>
    <r>
      <rPr>
        <b/>
        <sz val="12"/>
        <rFont val="Times New Roman"/>
        <family val="1"/>
      </rPr>
      <t xml:space="preserve"> </t>
    </r>
  </si>
  <si>
    <r>
      <t>Charge organique moyenne par m</t>
    </r>
    <r>
      <rPr>
        <vertAlign val="superscript"/>
        <sz val="12"/>
        <rFont val="Times New Roman"/>
        <family val="1"/>
      </rPr>
      <t xml:space="preserve">3 </t>
    </r>
    <r>
      <rPr>
        <sz val="12"/>
        <rFont val="Times New Roman"/>
        <family val="1"/>
      </rPr>
      <t>de boue</t>
    </r>
  </si>
  <si>
    <t>(entre 5 000 et 10 000)</t>
  </si>
  <si>
    <t xml:space="preserve">Source : Santé Canada, 2004. Guide canadien d'évaluation des incidences sur la santé. Chap. 8 : La gestion des eaux usées et des boues. </t>
  </si>
  <si>
    <t>DBO boues vidangées 
(kg DBO)</t>
  </si>
  <si>
    <r>
      <t>SOURCE: Émissions de CH</t>
    </r>
    <r>
      <rPr>
        <vertAlign val="subscript"/>
        <sz val="14"/>
        <rFont val="Times New Roman"/>
        <family val="1"/>
      </rPr>
      <t>4</t>
    </r>
    <r>
      <rPr>
        <sz val="14"/>
        <rFont val="Times New Roman"/>
        <family val="1"/>
      </rPr>
      <t xml:space="preserve"> liées aux fosses septiques</t>
    </r>
  </si>
  <si>
    <r>
      <t>Proportion (%)</t>
    </r>
    <r>
      <rPr>
        <b/>
        <vertAlign val="superscript"/>
        <sz val="10"/>
        <color theme="1"/>
        <rFont val="Times New Roman"/>
        <family val="1"/>
      </rPr>
      <t>(1)</t>
    </r>
  </si>
  <si>
    <r>
      <t xml:space="preserve">Proportion de carbone organique (DOC) (%) </t>
    </r>
    <r>
      <rPr>
        <b/>
        <vertAlign val="superscript"/>
        <sz val="10"/>
        <color theme="1"/>
        <rFont val="Times New Roman"/>
        <family val="1"/>
      </rPr>
      <t>(2)</t>
    </r>
  </si>
  <si>
    <r>
      <t>Facteur de génération de méthane (Lo)  kg CH</t>
    </r>
    <r>
      <rPr>
        <b/>
        <vertAlign val="subscript"/>
        <sz val="10"/>
        <color theme="1"/>
        <rFont val="Times New Roman"/>
        <family val="1"/>
      </rPr>
      <t>4</t>
    </r>
    <r>
      <rPr>
        <b/>
        <sz val="10"/>
        <color theme="1"/>
        <rFont val="Times New Roman"/>
        <family val="1"/>
      </rPr>
      <t xml:space="preserve">/t déchet </t>
    </r>
    <r>
      <rPr>
        <b/>
        <vertAlign val="superscript"/>
        <sz val="10"/>
        <color theme="1"/>
        <rFont val="Times New Roman"/>
        <family val="1"/>
      </rPr>
      <t>(3)</t>
    </r>
  </si>
  <si>
    <r>
      <t>Paramètre k (année</t>
    </r>
    <r>
      <rPr>
        <b/>
        <vertAlign val="superscript"/>
        <sz val="10"/>
        <color theme="1"/>
        <rFont val="Times New Roman"/>
        <family val="1"/>
      </rPr>
      <t>-1</t>
    </r>
    <r>
      <rPr>
        <b/>
        <sz val="10"/>
        <color theme="1"/>
        <rFont val="Times New Roman"/>
        <family val="1"/>
      </rPr>
      <t xml:space="preserve">) </t>
    </r>
    <r>
      <rPr>
        <b/>
        <vertAlign val="superscript"/>
        <sz val="10"/>
        <color theme="1"/>
        <rFont val="Times New Roman"/>
        <family val="1"/>
      </rPr>
      <t>(2)</t>
    </r>
  </si>
  <si>
    <r>
      <t>Facteur (Lo) selon la composition (kgCH</t>
    </r>
    <r>
      <rPr>
        <b/>
        <vertAlign val="subscript"/>
        <sz val="10"/>
        <color theme="1"/>
        <rFont val="Times New Roman"/>
        <family val="1"/>
      </rPr>
      <t>4</t>
    </r>
    <r>
      <rPr>
        <b/>
        <sz val="10"/>
        <color theme="1"/>
        <rFont val="Times New Roman"/>
        <family val="1"/>
      </rPr>
      <t>/t déchet)</t>
    </r>
  </si>
  <si>
    <r>
      <t>Paramètre k selon la compostition (année</t>
    </r>
    <r>
      <rPr>
        <b/>
        <vertAlign val="superscript"/>
        <sz val="10"/>
        <color theme="1"/>
        <rFont val="Times New Roman"/>
        <family val="1"/>
      </rPr>
      <t>-1</t>
    </r>
    <r>
      <rPr>
        <b/>
        <sz val="10"/>
        <color theme="1"/>
        <rFont val="Times New Roman"/>
        <family val="1"/>
      </rPr>
      <t xml:space="preserve">) </t>
    </r>
  </si>
  <si>
    <r>
      <t xml:space="preserve">Nombre de véhicules en circulation selon le type d'utilisation, le type de véhicule et l'âge, dans la province de </t>
    </r>
    <r>
      <rPr>
        <b/>
        <sz val="10"/>
        <rFont val="Times New Roman"/>
        <family val="1"/>
      </rPr>
      <t>Québec</t>
    </r>
    <r>
      <rPr>
        <sz val="10"/>
        <rFont val="Times New Roman"/>
        <family val="1"/>
      </rPr>
      <t xml:space="preserve">, 2017
Source: Données reçues de la SAAQ via courriel électronique, 17 août 2018
</t>
    </r>
  </si>
  <si>
    <t>https://www150.statcan.gc.ca/t1/tbl1/fr/tv.action?pid=2310006601&amp;pickMembers%5B0%5D=1.6</t>
  </si>
  <si>
    <t>Données de vente de carburants sur le territoire de l'agglomération</t>
  </si>
  <si>
    <t>Population du Québec 2017</t>
  </si>
  <si>
    <t>Source: Statistique Canada, Estimations de la population (septembre 2018). Adapté par l'institut de la statistique du Québec.</t>
  </si>
  <si>
    <t>Calculé à l'aide des émissions de CO2 selon le type de carburant et la catégorie de véhicules au Québec.
Source: Environnement Canada, Rapport d'inventaire national 1990-2017, Tableau A11-10 (Partie III)</t>
  </si>
  <si>
    <r>
      <t>téq.CO</t>
    </r>
    <r>
      <rPr>
        <b/>
        <vertAlign val="subscript"/>
        <sz val="10"/>
        <rFont val="Times New Roman"/>
        <family val="1"/>
      </rPr>
      <t>2</t>
    </r>
    <r>
      <rPr>
        <b/>
        <sz val="10"/>
        <rFont val="Times New Roman"/>
        <family val="1"/>
      </rPr>
      <t xml:space="preserve"> </t>
    </r>
  </si>
  <si>
    <t>véhicule léger - essence 2004-2014</t>
  </si>
  <si>
    <t>véhicule léger - essence 1996-2003</t>
  </si>
  <si>
    <t>véhicule léger - essence 1988-1995</t>
  </si>
  <si>
    <t>camion léger - essence 2004-2014</t>
  </si>
  <si>
    <t>camion léger - essence 1996-2003</t>
  </si>
  <si>
    <t>camion léger - essence 1988-1995</t>
  </si>
  <si>
    <t>véhicule lourd - essence 1996-2014</t>
  </si>
  <si>
    <t>motocyclette - controlled</t>
  </si>
  <si>
    <t>motocyclette - uncontrolled</t>
  </si>
  <si>
    <t>véhicule léger - diesel 1996-2014</t>
  </si>
  <si>
    <t>camion léger - diesel 2004-2014</t>
  </si>
  <si>
    <t>camion léger - diesel 1996-2003</t>
  </si>
  <si>
    <t>véhicule lourd - diesel - 1996-2003</t>
  </si>
  <si>
    <r>
      <t>tCO</t>
    </r>
    <r>
      <rPr>
        <b/>
        <vertAlign val="subscript"/>
        <sz val="10"/>
        <rFont val="Times New Roman"/>
        <family val="1"/>
      </rPr>
      <t>2</t>
    </r>
  </si>
  <si>
    <r>
      <t>tCH</t>
    </r>
    <r>
      <rPr>
        <b/>
        <vertAlign val="subscript"/>
        <sz val="10"/>
        <rFont val="Times New Roman"/>
        <family val="1"/>
      </rPr>
      <t>4</t>
    </r>
  </si>
  <si>
    <r>
      <t>tN</t>
    </r>
    <r>
      <rPr>
        <b/>
        <vertAlign val="subscript"/>
        <sz val="10"/>
        <rFont val="Times New Roman"/>
        <family val="1"/>
      </rPr>
      <t>2</t>
    </r>
    <r>
      <rPr>
        <b/>
        <sz val="10"/>
        <rFont val="Times New Roman"/>
        <family val="1"/>
      </rPr>
      <t>O</t>
    </r>
  </si>
  <si>
    <t>voir onglet RIN-2017.</t>
  </si>
  <si>
    <t>Nombre de véhicules en circulation selon le type d'utilisation, le type de véhicule et l'âge du véhicule, Québec et régions administratives - année 2017</t>
  </si>
  <si>
    <t>Source: Banque de données des statistiques officielles sur le Québec (SAAQ)</t>
  </si>
  <si>
    <t>http://www.stat.gouv.qc.ca/statistiques/profils/panorama-regions-2017.pdf</t>
  </si>
  <si>
    <t>Population Capitale-Nationale</t>
  </si>
  <si>
    <t>Nombre de véhicules sur le territoire de l'agglomération de la Ville de Québec
Source:  Banque de données des statistiques officielles sur le Québec (SAAQ), au prorata de la population de l'agglomérarion VS de la région administratrive (Capitale-Nationale)</t>
  </si>
  <si>
    <t>SOURCE: Émissions de GES des véhicules routiers de la collectivité</t>
  </si>
  <si>
    <t>SOURCE: Transport aérien</t>
  </si>
  <si>
    <t>SOURCE: Transport maritime</t>
  </si>
  <si>
    <t>SOURCE: Transport ferroviaire</t>
  </si>
  <si>
    <t>BAC1-11</t>
  </si>
  <si>
    <t>BAe 146</t>
  </si>
  <si>
    <t>B707*</t>
  </si>
  <si>
    <t>B727</t>
  </si>
  <si>
    <t>B727*</t>
  </si>
  <si>
    <t>B737-300</t>
  </si>
  <si>
    <t>B737*</t>
  </si>
  <si>
    <t>B737-400</t>
  </si>
  <si>
    <t>B747-200</t>
  </si>
  <si>
    <t>B747*</t>
  </si>
  <si>
    <t>B747-400</t>
  </si>
  <si>
    <t>B757</t>
  </si>
  <si>
    <t>B767</t>
  </si>
  <si>
    <t>Caravelle*</t>
  </si>
  <si>
    <t>DC8</t>
  </si>
  <si>
    <t>DC9</t>
  </si>
  <si>
    <t>DC10</t>
  </si>
  <si>
    <t>F28</t>
  </si>
  <si>
    <t>F100</t>
  </si>
  <si>
    <t>L1011*</t>
  </si>
  <si>
    <t>SAAB 340</t>
  </si>
  <si>
    <t>Tupolev
154</t>
  </si>
  <si>
    <t>Concorde</t>
  </si>
  <si>
    <t>GAjet</t>
  </si>
  <si>
    <t>Tonnage total manutentionné (kt)</t>
  </si>
  <si>
    <t>Statistique Canada, Mouvements d'aéronefs, par classe de vol et à l'heure de pointe et au jour de pointe, dans les aéroports dotés d'une tour de contrôle de NAV (2017)</t>
  </si>
  <si>
    <t>Source: IPCC Aircraft Emissions. https://www.ipcc-nggip.iges.or.jp/public/gp/bgp/2_5_Aircraft.pdf</t>
  </si>
  <si>
    <r>
      <t>Ports Québec/Lévis</t>
    </r>
    <r>
      <rPr>
        <vertAlign val="superscript"/>
        <sz val="12"/>
        <rFont val="Times New Roman"/>
        <family val="1"/>
      </rPr>
      <t>(1)</t>
    </r>
  </si>
  <si>
    <r>
      <t>tCO</t>
    </r>
    <r>
      <rPr>
        <b/>
        <vertAlign val="subscript"/>
        <sz val="12"/>
        <rFont val="Times New Roman"/>
        <family val="1"/>
      </rPr>
      <t>2</t>
    </r>
  </si>
  <si>
    <r>
      <t>tCH</t>
    </r>
    <r>
      <rPr>
        <b/>
        <vertAlign val="subscript"/>
        <sz val="12"/>
        <rFont val="Times New Roman"/>
        <family val="1"/>
      </rPr>
      <t>4</t>
    </r>
  </si>
  <si>
    <r>
      <t>tN</t>
    </r>
    <r>
      <rPr>
        <b/>
        <vertAlign val="subscript"/>
        <sz val="12"/>
        <rFont val="Times New Roman"/>
        <family val="1"/>
      </rPr>
      <t>2</t>
    </r>
    <r>
      <rPr>
        <b/>
        <sz val="12"/>
        <rFont val="Times New Roman"/>
        <family val="1"/>
      </rPr>
      <t>O</t>
    </r>
  </si>
  <si>
    <r>
      <t xml:space="preserve">Agglomération Québec </t>
    </r>
    <r>
      <rPr>
        <vertAlign val="superscript"/>
        <sz val="12"/>
        <rFont val="Times New Roman"/>
        <family val="1"/>
      </rPr>
      <t>(1)</t>
    </r>
  </si>
  <si>
    <r>
      <t>Ports de Québec</t>
    </r>
    <r>
      <rPr>
        <vertAlign val="superscript"/>
        <sz val="12"/>
        <rFont val="Times New Roman"/>
        <family val="1"/>
      </rPr>
      <t>(2)</t>
    </r>
  </si>
  <si>
    <t>Total Lévis</t>
  </si>
  <si>
    <r>
      <t xml:space="preserve">Produit </t>
    </r>
    <r>
      <rPr>
        <b/>
        <vertAlign val="superscript"/>
        <sz val="12"/>
        <rFont val="Times New Roman"/>
        <family val="1"/>
      </rPr>
      <t>(3)</t>
    </r>
  </si>
  <si>
    <t>(1) Port de Québec. Rapport annuel 2017. https://www.portquebec.ca/system/resources/W1siZiIsIjIwMTgvMDcvMDUvMDlfMzdfMjFfMzQ5X1BvcnRRY19SYXBwb3J0QW5udWVsMjAxN19XZWIucGRmIl1d/PortQc_RapportAnnuel2017_Web.pdf</t>
  </si>
  <si>
    <t>Total québec</t>
  </si>
  <si>
    <t>Ratio Québec/total</t>
  </si>
  <si>
    <t>Ports Québec/Lévis</t>
  </si>
  <si>
    <r>
      <t xml:space="preserve">Province de Québec </t>
    </r>
    <r>
      <rPr>
        <vertAlign val="superscript"/>
        <sz val="12"/>
        <rFont val="Times New Roman"/>
        <family val="1"/>
      </rPr>
      <t>(3)</t>
    </r>
  </si>
  <si>
    <t>(4) RIN 2017. Partie III. Tableau A11-10.</t>
  </si>
  <si>
    <t>Ratio Port de Québec/QC</t>
  </si>
  <si>
    <t>Province de Québec</t>
  </si>
  <si>
    <t>Port de Québec</t>
  </si>
  <si>
    <r>
      <t xml:space="preserve">Province de Québec </t>
    </r>
    <r>
      <rPr>
        <vertAlign val="superscript"/>
        <sz val="12"/>
        <rFont val="Times New Roman"/>
        <family val="1"/>
      </rPr>
      <t>(4)</t>
    </r>
  </si>
  <si>
    <r>
      <t xml:space="preserve">Province de Québec </t>
    </r>
    <r>
      <rPr>
        <vertAlign val="superscript"/>
        <sz val="12"/>
        <rFont val="Times New Roman"/>
        <family val="1"/>
      </rPr>
      <t>(2)</t>
    </r>
  </si>
  <si>
    <t>Province de Québec (3)</t>
  </si>
  <si>
    <t>(3) RIN 2017. Partie III. Tableau A11-11.</t>
  </si>
  <si>
    <t xml:space="preserve">(4) Prorata sur la province du Québec par rapport au longueur des voies </t>
  </si>
  <si>
    <t>Total transport hors-route</t>
  </si>
  <si>
    <t>Consommation</t>
  </si>
  <si>
    <t>Consommation énergétique</t>
  </si>
  <si>
    <r>
      <t>téq.CO</t>
    </r>
    <r>
      <rPr>
        <vertAlign val="subscript"/>
        <sz val="12"/>
        <color theme="0"/>
        <rFont val="Times New Roman"/>
        <family val="1"/>
      </rPr>
      <t>2</t>
    </r>
  </si>
  <si>
    <r>
      <t>tCO</t>
    </r>
    <r>
      <rPr>
        <vertAlign val="subscript"/>
        <sz val="12"/>
        <color theme="0"/>
        <rFont val="Times New Roman"/>
        <family val="1"/>
      </rPr>
      <t>2</t>
    </r>
  </si>
  <si>
    <r>
      <t>tCH</t>
    </r>
    <r>
      <rPr>
        <vertAlign val="subscript"/>
        <sz val="12"/>
        <color theme="0"/>
        <rFont val="Times New Roman"/>
        <family val="1"/>
      </rPr>
      <t>4</t>
    </r>
  </si>
  <si>
    <r>
      <t>tN</t>
    </r>
    <r>
      <rPr>
        <vertAlign val="subscript"/>
        <sz val="12"/>
        <color theme="0"/>
        <rFont val="Times New Roman"/>
        <family val="1"/>
      </rPr>
      <t>2</t>
    </r>
    <r>
      <rPr>
        <sz val="12"/>
        <color theme="0"/>
        <rFont val="Times New Roman"/>
        <family val="1"/>
      </rPr>
      <t>O</t>
    </r>
  </si>
  <si>
    <t>1 cordons = 4' X 8' X 16''</t>
  </si>
  <si>
    <t>Estimation du pourcentage d'interstice</t>
  </si>
  <si>
    <t>kg/an/unité</t>
  </si>
  <si>
    <t>Uilisation moyenne de bois de chauffage par année (cordons)</t>
  </si>
  <si>
    <t>Calculé</t>
  </si>
  <si>
    <t>Masse (kg) d'un cordon</t>
  </si>
  <si>
    <t>kg/cordon</t>
  </si>
  <si>
    <t>Uilisation moyenne de bois de chauffage (kg) par année par unité</t>
  </si>
  <si>
    <t>Densité moyenne</t>
  </si>
  <si>
    <r>
      <t>lb/pi</t>
    </r>
    <r>
      <rPr>
        <vertAlign val="superscript"/>
        <sz val="12"/>
        <rFont val="Times New Roman"/>
        <family val="1"/>
      </rPr>
      <t>3</t>
    </r>
  </si>
  <si>
    <t>Engineeringtoolbox - Wood species - weight at various Moisture Contents</t>
  </si>
  <si>
    <r>
      <t>tCO</t>
    </r>
    <r>
      <rPr>
        <b/>
        <vertAlign val="subscript"/>
        <sz val="12"/>
        <color theme="0"/>
        <rFont val="Times New Roman"/>
        <family val="1"/>
      </rPr>
      <t>2</t>
    </r>
  </si>
  <si>
    <r>
      <t>tCH</t>
    </r>
    <r>
      <rPr>
        <b/>
        <vertAlign val="subscript"/>
        <sz val="12"/>
        <color theme="0"/>
        <rFont val="Times New Roman"/>
        <family val="1"/>
      </rPr>
      <t>4</t>
    </r>
  </si>
  <si>
    <r>
      <t>tN</t>
    </r>
    <r>
      <rPr>
        <b/>
        <vertAlign val="subscript"/>
        <sz val="12"/>
        <color theme="0"/>
        <rFont val="Times New Roman"/>
        <family val="1"/>
      </rPr>
      <t>2</t>
    </r>
    <r>
      <rPr>
        <b/>
        <sz val="12"/>
        <color theme="0"/>
        <rFont val="Times New Roman"/>
        <family val="1"/>
      </rPr>
      <t>O</t>
    </r>
  </si>
  <si>
    <t>Population 2017</t>
  </si>
  <si>
    <t>Population Agglo 2017</t>
  </si>
  <si>
    <r>
      <t>téq.CO</t>
    </r>
    <r>
      <rPr>
        <b/>
        <vertAlign val="subscript"/>
        <sz val="12"/>
        <rFont val="Times New Roman"/>
        <family val="1"/>
      </rPr>
      <t>2</t>
    </r>
    <r>
      <rPr>
        <b/>
        <sz val="12"/>
        <rFont val="Times New Roman"/>
        <family val="1"/>
      </rPr>
      <t>/indicateur</t>
    </r>
  </si>
  <si>
    <r>
      <t>Pouvoir calorifique</t>
    </r>
    <r>
      <rPr>
        <b/>
        <vertAlign val="superscript"/>
        <sz val="12"/>
        <rFont val="Times New Roman"/>
        <family val="1"/>
      </rPr>
      <t xml:space="preserve"> </t>
    </r>
  </si>
  <si>
    <t>Émissions GES</t>
  </si>
  <si>
    <r>
      <t>Superficie (1000 m</t>
    </r>
    <r>
      <rPr>
        <b/>
        <vertAlign val="superscript"/>
        <sz val="12"/>
        <rFont val="Times New Roman"/>
        <family val="1"/>
      </rPr>
      <t>2</t>
    </r>
    <r>
      <rPr>
        <b/>
        <sz val="12"/>
        <rFont val="Times New Roman"/>
        <family val="1"/>
      </rPr>
      <t>)</t>
    </r>
  </si>
  <si>
    <t>GL/L</t>
  </si>
  <si>
    <t>Données estimées - mazout*</t>
  </si>
  <si>
    <t>Type de logement
(superficie - m2)</t>
  </si>
  <si>
    <t>GN</t>
  </si>
  <si>
    <t>Consommation énergétique par utilisation finale et source d'énergie (MJ) - données réelles (électricité et gaz naturel) et données estimées (bois et mazout)</t>
  </si>
  <si>
    <t>Consommation énergétique par utilisation finale et source d'énergie (kWh, m3, litre) - données réelles (électricité et gaz naturel) et données estimées (mazout)</t>
  </si>
  <si>
    <t xml:space="preserve">Émissions GES </t>
  </si>
  <si>
    <t xml:space="preserve">téq.CO2 </t>
  </si>
  <si>
    <r>
      <t>téq.CO</t>
    </r>
    <r>
      <rPr>
        <b/>
        <vertAlign val="subscript"/>
        <sz val="12"/>
        <color theme="0"/>
        <rFont val="Times New Roman"/>
        <family val="1"/>
      </rPr>
      <t>2</t>
    </r>
    <r>
      <rPr>
        <b/>
        <sz val="12"/>
        <color theme="0"/>
        <rFont val="Times New Roman"/>
        <family val="1"/>
      </rPr>
      <t xml:space="preserve"> </t>
    </r>
  </si>
  <si>
    <r>
      <t>téq.CO</t>
    </r>
    <r>
      <rPr>
        <vertAlign val="subscript"/>
        <sz val="12"/>
        <color theme="0"/>
        <rFont val="Times New Roman"/>
        <family val="1"/>
      </rPr>
      <t>2</t>
    </r>
    <r>
      <rPr>
        <sz val="12"/>
        <color theme="0"/>
        <rFont val="Times New Roman"/>
        <family val="1"/>
      </rPr>
      <t xml:space="preserve"> </t>
    </r>
  </si>
  <si>
    <t>Nombre d'unités résidentielles ayant un appareil au bois</t>
  </si>
  <si>
    <t>appareils</t>
  </si>
  <si>
    <t>Cordons/appareil/an</t>
  </si>
  <si>
    <t>Donnée fournie le 9 août 2019 par Roxanne Saint-Laurent, conseillère en environnement, Division de la prévention et contrôle environnemental</t>
  </si>
  <si>
    <t>Données calculées - Bois</t>
  </si>
  <si>
    <r>
      <t>Consommation de gaz naturel du secteur résidentiel</t>
    </r>
    <r>
      <rPr>
        <sz val="12"/>
        <rFont val="Times New Roman"/>
        <family val="1"/>
      </rPr>
      <t xml:space="preserve"> </t>
    </r>
  </si>
  <si>
    <t>Consommation d'électricité du secteur résidentiel</t>
  </si>
  <si>
    <r>
      <t>Superficie totale (m</t>
    </r>
    <r>
      <rPr>
        <vertAlign val="superscript"/>
        <sz val="12"/>
        <color rgb="FF000000"/>
        <rFont val="Times New Roman"/>
        <family val="1"/>
      </rPr>
      <t>2</t>
    </r>
    <r>
      <rPr>
        <sz val="12"/>
        <color rgb="FF000000"/>
        <rFont val="Times New Roman"/>
        <family val="1"/>
      </rPr>
      <t>)</t>
    </r>
  </si>
  <si>
    <t>Maisons attenantes</t>
  </si>
  <si>
    <r>
      <t>Combustibles utilisés (superficie - m</t>
    </r>
    <r>
      <rPr>
        <vertAlign val="superscript"/>
        <sz val="12"/>
        <color rgb="FF000000"/>
        <rFont val="Times New Roman"/>
        <family val="1"/>
      </rPr>
      <t>2</t>
    </r>
    <r>
      <rPr>
        <sz val="12"/>
        <color rgb="FF000000"/>
        <rFont val="Times New Roman"/>
        <family val="1"/>
      </rPr>
      <t>)</t>
    </r>
  </si>
  <si>
    <t>Pouvoir calorifique</t>
  </si>
  <si>
    <t xml:space="preserve">Coefficients d'intensité énergétique </t>
  </si>
  <si>
    <t>Source: OEÉ, Base de données complète sur la consommation d'énergie, secteur Institutionnel et commercial</t>
  </si>
  <si>
    <r>
      <t>Chauffage (superficie - m</t>
    </r>
    <r>
      <rPr>
        <i/>
        <vertAlign val="superscript"/>
        <sz val="12"/>
        <color theme="1"/>
        <rFont val="Times New Roman"/>
        <family val="1"/>
      </rPr>
      <t>2</t>
    </r>
    <r>
      <rPr>
        <i/>
        <sz val="12"/>
        <color theme="1"/>
        <rFont val="Times New Roman"/>
        <family val="1"/>
      </rPr>
      <t>)</t>
    </r>
  </si>
  <si>
    <r>
      <t>Chauffe-eau (superficie - m</t>
    </r>
    <r>
      <rPr>
        <i/>
        <vertAlign val="superscript"/>
        <sz val="12"/>
        <color theme="1"/>
        <rFont val="Times New Roman"/>
        <family val="1"/>
      </rPr>
      <t>2</t>
    </r>
    <r>
      <rPr>
        <i/>
        <sz val="12"/>
        <color theme="1"/>
        <rFont val="Times New Roman"/>
        <family val="1"/>
      </rPr>
      <t>)</t>
    </r>
  </si>
  <si>
    <r>
      <t>MJ/m</t>
    </r>
    <r>
      <rPr>
        <b/>
        <vertAlign val="superscript"/>
        <sz val="12"/>
        <color theme="1"/>
        <rFont val="Times New Roman"/>
        <family val="1"/>
      </rPr>
      <t>2</t>
    </r>
  </si>
  <si>
    <r>
      <t>Consommation de gaz naturel du secteur institutionnel et commercial</t>
    </r>
    <r>
      <rPr>
        <sz val="12"/>
        <rFont val="Times New Roman"/>
        <family val="1"/>
      </rPr>
      <t xml:space="preserve"> </t>
    </r>
  </si>
  <si>
    <r>
      <t>Intensité énergétique (MJ/m</t>
    </r>
    <r>
      <rPr>
        <vertAlign val="superscript"/>
        <sz val="12"/>
        <color theme="0"/>
        <rFont val="Times New Roman"/>
        <family val="1"/>
      </rPr>
      <t>2</t>
    </r>
    <r>
      <rPr>
        <sz val="12"/>
        <color theme="0"/>
        <rFont val="Times New Roman"/>
        <family val="1"/>
      </rPr>
      <t>)</t>
    </r>
  </si>
  <si>
    <r>
      <t>Superficie totale des unités
(m</t>
    </r>
    <r>
      <rPr>
        <vertAlign val="superscript"/>
        <sz val="12"/>
        <color theme="0"/>
        <rFont val="Times New Roman"/>
        <family val="1"/>
      </rPr>
      <t>2</t>
    </r>
    <r>
      <rPr>
        <sz val="12"/>
        <color theme="0"/>
        <rFont val="Times New Roman"/>
        <family val="1"/>
      </rPr>
      <t>)</t>
    </r>
  </si>
  <si>
    <r>
      <t>CE</t>
    </r>
    <r>
      <rPr>
        <vertAlign val="subscript"/>
        <sz val="12"/>
        <rFont val="Times New Roman"/>
        <family val="1"/>
      </rPr>
      <t>BASE</t>
    </r>
  </si>
  <si>
    <t>Source: OEÉ, Base de données complète sur la consommation d'énergie (2016)</t>
  </si>
  <si>
    <t>Population (2017)</t>
  </si>
  <si>
    <t>Production et consommation d’halocarbures, de SF6 et de NF33</t>
  </si>
  <si>
    <t>Produits non énergétiques provenant de combustibles et de l’utilisation de solvant</t>
  </si>
  <si>
    <t>Fabrication et utilisation d’autres produits</t>
  </si>
  <si>
    <t>Consommation de d'électricité du secteur institutionnel et commercial</t>
  </si>
  <si>
    <t>DELTA 2010 - 2017 (%)</t>
  </si>
  <si>
    <t>Inventaire des émissions de GES du secteur corporatif de la Ville de Québec 2017</t>
  </si>
  <si>
    <t>Évolution des émissions de GES du secteur corporatif de la Ville de Québec 1990, 2006, 2010 et 2017</t>
  </si>
  <si>
    <t>Inventaire des émissions de GES du secteur collectif de la Ville de Québec 2017</t>
  </si>
  <si>
    <t>Évolution des émissions de GES du secteur collectif de la Ville de Québec 1990, 2006, 2010 et 2017</t>
  </si>
  <si>
    <r>
      <t>Inventaire global des émissions de GES de la Ville de Québec 2017 (ktéq.CO</t>
    </r>
    <r>
      <rPr>
        <b/>
        <vertAlign val="subscript"/>
        <sz val="12"/>
        <rFont val="Times New Roman"/>
        <family val="1"/>
      </rPr>
      <t>2</t>
    </r>
    <r>
      <rPr>
        <b/>
        <sz val="12"/>
        <rFont val="Times New Roman"/>
        <family val="1"/>
      </rPr>
      <t>)</t>
    </r>
  </si>
  <si>
    <t>&gt;2004</t>
  </si>
  <si>
    <t>http://www.environnement.gouv.qc.ca/changements/ges/2016/inventaire1990-2016.pdf</t>
  </si>
  <si>
    <r>
      <t xml:space="preserve">Émissions
</t>
    </r>
    <r>
      <rPr>
        <sz val="10"/>
        <rFont val="Times New Roman"/>
        <family val="1"/>
      </rPr>
      <t xml:space="preserve"> (téq.CO</t>
    </r>
    <r>
      <rPr>
        <vertAlign val="subscript"/>
        <sz val="10"/>
        <rFont val="Times New Roman"/>
        <family val="1"/>
      </rPr>
      <t>2</t>
    </r>
    <r>
      <rPr>
        <sz val="10"/>
        <rFont val="Times New Roman"/>
        <family val="1"/>
      </rPr>
      <t>)</t>
    </r>
  </si>
  <si>
    <t xml:space="preserve">L'inventaire global des GES de l'agglomération de Québec comprend toutes les sources d'émissions associées à l'agglomération de Québec, soit celles émanant de la collectivité et celles dites "corporatives" (émanant de la ville). Pour le détail des émissions "corporatives", se référer aux bilans annuels corporatifs. </t>
  </si>
  <si>
    <t>Données réelles*</t>
  </si>
  <si>
    <r>
      <t xml:space="preserve">* </t>
    </r>
    <r>
      <rPr>
        <i/>
        <sz val="12"/>
        <color theme="1"/>
        <rFont val="Times New Roman"/>
        <family val="1"/>
      </rPr>
      <t>Données reçues de Hydro-Québec et Energir</t>
    </r>
  </si>
  <si>
    <t>Version courante de l'inventaire global</t>
  </si>
  <si>
    <r>
      <t>Année d'inventaire</t>
    </r>
    <r>
      <rPr>
        <vertAlign val="superscript"/>
        <sz val="12"/>
        <rFont val="Times New Roman"/>
        <family val="1"/>
      </rPr>
      <t>(1) (2)</t>
    </r>
  </si>
  <si>
    <t>C&amp;I</t>
  </si>
  <si>
    <t>Halocarbures et autres produits</t>
  </si>
  <si>
    <r>
      <t>Émissions corporatives</t>
    </r>
    <r>
      <rPr>
        <b/>
        <vertAlign val="superscript"/>
        <sz val="12"/>
        <color theme="0"/>
        <rFont val="Times New Roman"/>
        <family val="1"/>
      </rPr>
      <t xml:space="preserve"> </t>
    </r>
  </si>
  <si>
    <t>SOMMAIRE</t>
  </si>
  <si>
    <r>
      <t>kgCH</t>
    </r>
    <r>
      <rPr>
        <vertAlign val="subscript"/>
        <sz val="12"/>
        <rFont val="Times New Roman"/>
        <family val="1"/>
      </rPr>
      <t>4</t>
    </r>
    <r>
      <rPr>
        <sz val="12"/>
        <rFont val="Times New Roman"/>
        <family val="1"/>
      </rPr>
      <t>/tête</t>
    </r>
  </si>
  <si>
    <r>
      <t>kgCH</t>
    </r>
    <r>
      <rPr>
        <vertAlign val="subscript"/>
        <sz val="12"/>
        <rFont val="Times New Roman"/>
        <family val="1"/>
      </rPr>
      <t>4</t>
    </r>
  </si>
  <si>
    <t>kgN/tête</t>
  </si>
  <si>
    <r>
      <t>kgN</t>
    </r>
    <r>
      <rPr>
        <b/>
        <vertAlign val="subscript"/>
        <sz val="12"/>
        <rFont val="Times New Roman"/>
        <family val="1"/>
      </rPr>
      <t>2</t>
    </r>
    <r>
      <rPr>
        <b/>
        <sz val="12"/>
        <rFont val="Times New Roman"/>
        <family val="1"/>
      </rPr>
      <t>O</t>
    </r>
  </si>
  <si>
    <t>Soya</t>
  </si>
  <si>
    <t>Consommation d'électricité du secteur industriel (kWh)</t>
  </si>
  <si>
    <r>
      <t>Consommation de gaz naturel du secteur industriel (m</t>
    </r>
    <r>
      <rPr>
        <vertAlign val="superscript"/>
        <sz val="12"/>
        <rFont val="Times New Roman"/>
        <family val="1"/>
      </rPr>
      <t>3</t>
    </r>
    <r>
      <rPr>
        <sz val="12"/>
        <rFont val="Times New Roman"/>
        <family val="1"/>
      </rPr>
      <t>)</t>
    </r>
  </si>
  <si>
    <r>
      <t>Émissions de GES (téq.CO</t>
    </r>
    <r>
      <rPr>
        <b/>
        <vertAlign val="subscript"/>
        <sz val="12"/>
        <rFont val="Times New Roman"/>
        <family val="1"/>
      </rPr>
      <t>2</t>
    </r>
    <r>
      <rPr>
        <b/>
        <sz val="12"/>
        <rFont val="Times New Roman"/>
        <family val="1"/>
      </rPr>
      <t>)</t>
    </r>
  </si>
  <si>
    <t>SOUS-TOTAL Halocarbures  et autres produits</t>
  </si>
  <si>
    <t>Inventaire des cheptels de l'agglomération de Québec (2016)</t>
  </si>
  <si>
    <t>#</t>
  </si>
  <si>
    <t>Nombre d'animaux</t>
  </si>
  <si>
    <t>SOLS AGRICOLES</t>
  </si>
  <si>
    <t>Émissions associées à la gestion du fumier</t>
  </si>
  <si>
    <t>Catégorie d'élevage</t>
  </si>
  <si>
    <t>Sous-catégorie</t>
  </si>
  <si>
    <t>Source d'émission</t>
  </si>
  <si>
    <r>
      <t>Émissions de CH</t>
    </r>
    <r>
      <rPr>
        <b/>
        <vertAlign val="subscript"/>
        <sz val="12"/>
        <rFont val="Times New Roman"/>
        <family val="1"/>
      </rPr>
      <t>4</t>
    </r>
  </si>
  <si>
    <r>
      <t>Émissions de N</t>
    </r>
    <r>
      <rPr>
        <b/>
        <vertAlign val="subscript"/>
        <sz val="12"/>
        <rFont val="Times New Roman"/>
        <family val="1"/>
      </rPr>
      <t>2</t>
    </r>
    <r>
      <rPr>
        <b/>
        <sz val="12"/>
        <rFont val="Times New Roman"/>
        <family val="1"/>
      </rPr>
      <t>O</t>
    </r>
  </si>
  <si>
    <r>
      <t>kgCH</t>
    </r>
    <r>
      <rPr>
        <vertAlign val="subscript"/>
        <sz val="12"/>
        <rFont val="Times New Roman"/>
        <family val="1"/>
      </rPr>
      <t>4</t>
    </r>
    <r>
      <rPr>
        <sz val="12"/>
        <rFont val="Times New Roman"/>
        <family val="1"/>
      </rPr>
      <t>/animal</t>
    </r>
  </si>
  <si>
    <r>
      <t>CE</t>
    </r>
    <r>
      <rPr>
        <b/>
        <vertAlign val="subscript"/>
        <sz val="12"/>
        <rFont val="Times New Roman"/>
        <family val="1"/>
      </rPr>
      <t>(FE)</t>
    </r>
  </si>
  <si>
    <t>N</t>
  </si>
  <si>
    <r>
      <t>CH</t>
    </r>
    <r>
      <rPr>
        <b/>
        <vertAlign val="subscript"/>
        <sz val="12"/>
        <rFont val="Times New Roman"/>
        <family val="1"/>
      </rPr>
      <t>4FE</t>
    </r>
  </si>
  <si>
    <t>Tableau des sources</t>
  </si>
  <si>
    <t>Recensement agricole</t>
  </si>
  <si>
    <r>
      <t>N</t>
    </r>
    <r>
      <rPr>
        <vertAlign val="subscript"/>
        <sz val="12"/>
        <rFont val="Times New Roman"/>
        <family val="1"/>
      </rPr>
      <t>EX</t>
    </r>
  </si>
  <si>
    <t>Frac perte</t>
  </si>
  <si>
    <t>ND</t>
  </si>
  <si>
    <t>ECCC, Rapport d'Inventaire National 2017, tableau A3-34 et Annexe 6 pour les espèces non bovines (Tableau A6-30)</t>
  </si>
  <si>
    <t>Statistique Canada, Recensement agricole 2016, lien internet: https://www.statcan.gc.ca/fra/ra2016</t>
  </si>
  <si>
    <r>
      <t>CH</t>
    </r>
    <r>
      <rPr>
        <vertAlign val="subscript"/>
        <sz val="12"/>
        <rFont val="Times New Roman"/>
        <family val="1"/>
      </rPr>
      <t>4MM</t>
    </r>
    <r>
      <rPr>
        <sz val="12"/>
        <rFont val="Times New Roman"/>
        <family val="1"/>
      </rPr>
      <t xml:space="preserve"> = N</t>
    </r>
    <r>
      <rPr>
        <vertAlign val="subscript"/>
        <sz val="12"/>
        <rFont val="Times New Roman"/>
        <family val="1"/>
      </rPr>
      <t>T</t>
    </r>
    <r>
      <rPr>
        <sz val="12"/>
        <rFont val="Times New Roman"/>
        <family val="1"/>
      </rPr>
      <t xml:space="preserve"> x CE</t>
    </r>
    <r>
      <rPr>
        <vertAlign val="subscript"/>
        <sz val="12"/>
        <rFont val="Times New Roman"/>
        <family val="1"/>
      </rPr>
      <t>(MM)T</t>
    </r>
  </si>
  <si>
    <t>Équation A3-22 (RIN 2017)</t>
  </si>
  <si>
    <r>
      <t>CE</t>
    </r>
    <r>
      <rPr>
        <vertAlign val="subscript"/>
        <sz val="12"/>
        <rFont val="Times New Roman"/>
        <family val="1"/>
      </rPr>
      <t>(MM)</t>
    </r>
  </si>
  <si>
    <r>
      <t>CH4</t>
    </r>
    <r>
      <rPr>
        <vertAlign val="subscript"/>
        <sz val="12"/>
        <rFont val="Times New Roman"/>
        <family val="1"/>
      </rPr>
      <t>MM</t>
    </r>
  </si>
  <si>
    <t>ECCC, RIN 2017, tableau A3-46 pour les bovins, A3-47 pour les porcs et tableau A3-48 pour les animaux autres</t>
  </si>
  <si>
    <r>
      <t>N</t>
    </r>
    <r>
      <rPr>
        <vertAlign val="subscript"/>
        <sz val="12"/>
        <rFont val="Times New Roman"/>
        <family val="1"/>
      </rPr>
      <t>2</t>
    </r>
    <r>
      <rPr>
        <sz val="12"/>
        <rFont val="Times New Roman"/>
        <family val="1"/>
      </rPr>
      <t>O</t>
    </r>
    <r>
      <rPr>
        <vertAlign val="subscript"/>
        <sz val="12"/>
        <rFont val="Times New Roman"/>
        <family val="1"/>
      </rPr>
      <t xml:space="preserve">D(gf) </t>
    </r>
    <r>
      <rPr>
        <sz val="12"/>
        <rFont val="Times New Roman"/>
        <family val="1"/>
      </rPr>
      <t>= (N</t>
    </r>
    <r>
      <rPr>
        <vertAlign val="subscript"/>
        <sz val="12"/>
        <rFont val="Times New Roman"/>
        <family val="1"/>
      </rPr>
      <t>T</t>
    </r>
    <r>
      <rPr>
        <sz val="12"/>
        <rFont val="Times New Roman"/>
        <family val="1"/>
      </rPr>
      <t xml:space="preserve"> x N</t>
    </r>
    <r>
      <rPr>
        <vertAlign val="subscript"/>
        <sz val="12"/>
        <rFont val="Times New Roman"/>
        <family val="1"/>
      </rPr>
      <t>SGF</t>
    </r>
    <r>
      <rPr>
        <sz val="12"/>
        <rFont val="Times New Roman"/>
        <family val="1"/>
      </rPr>
      <t xml:space="preserve"> x N</t>
    </r>
    <r>
      <rPr>
        <vertAlign val="subscript"/>
        <sz val="12"/>
        <rFont val="Times New Roman"/>
        <family val="1"/>
      </rPr>
      <t>EX</t>
    </r>
    <r>
      <rPr>
        <sz val="12"/>
        <rFont val="Times New Roman"/>
        <family val="1"/>
      </rPr>
      <t>) x CE</t>
    </r>
    <r>
      <rPr>
        <vertAlign val="subscript"/>
        <sz val="12"/>
        <rFont val="Times New Roman"/>
        <family val="1"/>
      </rPr>
      <t>SGF</t>
    </r>
    <r>
      <rPr>
        <sz val="12"/>
        <rFont val="Times New Roman"/>
        <family val="1"/>
      </rPr>
      <t xml:space="preserve"> x 44/28 </t>
    </r>
  </si>
  <si>
    <r>
      <t>Émissions directes de N</t>
    </r>
    <r>
      <rPr>
        <b/>
        <vertAlign val="subscript"/>
        <sz val="12"/>
        <rFont val="Times New Roman"/>
        <family val="1"/>
      </rPr>
      <t>2</t>
    </r>
    <r>
      <rPr>
        <b/>
        <sz val="12"/>
        <rFont val="Times New Roman"/>
        <family val="1"/>
      </rPr>
      <t>O</t>
    </r>
  </si>
  <si>
    <t>Équation A3-26 (RIN 2017)</t>
  </si>
  <si>
    <r>
      <t>N</t>
    </r>
    <r>
      <rPr>
        <vertAlign val="subscript"/>
        <sz val="12"/>
        <rFont val="Times New Roman"/>
        <family val="1"/>
      </rPr>
      <t>SGF</t>
    </r>
  </si>
  <si>
    <t>ECCC, RIN 2017, tableau A3-41</t>
  </si>
  <si>
    <t>NL</t>
  </si>
  <si>
    <t>NSSD</t>
  </si>
  <si>
    <t>CEPGE</t>
  </si>
  <si>
    <t>NO</t>
  </si>
  <si>
    <r>
      <t>CE</t>
    </r>
    <r>
      <rPr>
        <vertAlign val="subscript"/>
        <sz val="12"/>
        <rFont val="Times New Roman"/>
        <family val="1"/>
      </rPr>
      <t>SGF</t>
    </r>
  </si>
  <si>
    <r>
      <t>N</t>
    </r>
    <r>
      <rPr>
        <vertAlign val="subscript"/>
        <sz val="12"/>
        <rFont val="Times New Roman"/>
        <family val="1"/>
      </rPr>
      <t>SGF</t>
    </r>
    <r>
      <rPr>
        <sz val="12"/>
        <rFont val="Times New Roman"/>
        <family val="1"/>
      </rPr>
      <t xml:space="preserve"> et CE</t>
    </r>
    <r>
      <rPr>
        <vertAlign val="subscript"/>
        <sz val="12"/>
        <rFont val="Times New Roman"/>
        <family val="1"/>
      </rPr>
      <t>SGF</t>
    </r>
    <r>
      <rPr>
        <sz val="12"/>
        <rFont val="Times New Roman"/>
        <family val="1"/>
      </rPr>
      <t xml:space="preserve"> en fonction du type de SGF</t>
    </r>
  </si>
  <si>
    <r>
      <t>kg N</t>
    </r>
    <r>
      <rPr>
        <vertAlign val="subscript"/>
        <sz val="12"/>
        <rFont val="Times New Roman"/>
        <family val="1"/>
      </rPr>
      <t>2</t>
    </r>
    <r>
      <rPr>
        <sz val="12"/>
        <rFont val="Times New Roman"/>
        <family val="1"/>
      </rPr>
      <t>O-N/kg N</t>
    </r>
  </si>
  <si>
    <t>ECCC, RIN 2017, tableau A6-38</t>
  </si>
  <si>
    <t>ECCC, RIN 2017, tableau A3-42 et tableau A3-43 pour les animaux autres que les bovins</t>
  </si>
  <si>
    <r>
      <t>N</t>
    </r>
    <r>
      <rPr>
        <vertAlign val="subscript"/>
        <sz val="12"/>
        <rFont val="Times New Roman"/>
        <family val="1"/>
      </rPr>
      <t>SGF</t>
    </r>
    <r>
      <rPr>
        <sz val="12"/>
        <rFont val="Times New Roman"/>
        <family val="1"/>
      </rPr>
      <t xml:space="preserve"> par type de SGF</t>
    </r>
  </si>
  <si>
    <r>
      <t>CE</t>
    </r>
    <r>
      <rPr>
        <vertAlign val="subscript"/>
        <sz val="12"/>
        <rFont val="Times New Roman"/>
        <family val="1"/>
      </rPr>
      <t>SGF</t>
    </r>
    <r>
      <rPr>
        <sz val="12"/>
        <rFont val="Times New Roman"/>
        <family val="1"/>
      </rPr>
      <t xml:space="preserve"> par type de SGF</t>
    </r>
  </si>
  <si>
    <r>
      <t>CE</t>
    </r>
    <r>
      <rPr>
        <vertAlign val="subscript"/>
        <sz val="12"/>
        <rFont val="Times New Roman"/>
        <family val="1"/>
      </rPr>
      <t>(FE)</t>
    </r>
  </si>
  <si>
    <r>
      <t>Émissions indirectes de N</t>
    </r>
    <r>
      <rPr>
        <b/>
        <vertAlign val="subscript"/>
        <sz val="12"/>
        <rFont val="Times New Roman"/>
        <family val="1"/>
      </rPr>
      <t>2</t>
    </r>
    <r>
      <rPr>
        <b/>
        <sz val="12"/>
        <rFont val="Times New Roman"/>
        <family val="1"/>
      </rPr>
      <t>O (volatilisation)</t>
    </r>
  </si>
  <si>
    <t>Équation A3-27 (RIN 2017)</t>
  </si>
  <si>
    <r>
      <t>Frac</t>
    </r>
    <r>
      <rPr>
        <vertAlign val="subscript"/>
        <sz val="12"/>
        <rFont val="Times New Roman"/>
        <family val="1"/>
      </rPr>
      <t>GazGF(T,SGF)</t>
    </r>
    <r>
      <rPr>
        <sz val="12"/>
        <rFont val="Times New Roman"/>
        <family val="1"/>
      </rPr>
      <t xml:space="preserve"> en fonction du type de SGF</t>
    </r>
  </si>
  <si>
    <r>
      <t>Frac</t>
    </r>
    <r>
      <rPr>
        <vertAlign val="subscript"/>
        <sz val="12"/>
        <rFont val="Times New Roman"/>
        <family val="1"/>
      </rPr>
      <t>GazGF(T,SGF)</t>
    </r>
    <r>
      <rPr>
        <sz val="12"/>
        <rFont val="Times New Roman"/>
        <family val="1"/>
      </rPr>
      <t xml:space="preserve"> </t>
    </r>
  </si>
  <si>
    <t xml:space="preserve">Liquide </t>
  </si>
  <si>
    <t>Stockage de fumier solide</t>
  </si>
  <si>
    <t>Autres</t>
  </si>
  <si>
    <r>
      <t>Frac</t>
    </r>
    <r>
      <rPr>
        <vertAlign val="subscript"/>
        <sz val="12"/>
        <rFont val="Times New Roman"/>
        <family val="1"/>
      </rPr>
      <t>GazGF(T,SGF)</t>
    </r>
    <r>
      <rPr>
        <sz val="12"/>
        <rFont val="Times New Roman"/>
        <family val="1"/>
      </rPr>
      <t xml:space="preserve"> par type de SGF</t>
    </r>
  </si>
  <si>
    <t>ECCC, RIN 2017, tableau A3-49, A3-50 (bovins laitiers) et A3-51 (porcs)</t>
  </si>
  <si>
    <r>
      <t>CE</t>
    </r>
    <r>
      <rPr>
        <vertAlign val="subscript"/>
        <sz val="12"/>
        <rFont val="Times New Roman"/>
        <family val="1"/>
      </rPr>
      <t>4</t>
    </r>
  </si>
  <si>
    <r>
      <t>N</t>
    </r>
    <r>
      <rPr>
        <vertAlign val="subscript"/>
        <sz val="12"/>
        <rFont val="Times New Roman"/>
        <family val="1"/>
      </rPr>
      <t>2</t>
    </r>
    <r>
      <rPr>
        <sz val="12"/>
        <rFont val="Times New Roman"/>
        <family val="1"/>
      </rPr>
      <t>O</t>
    </r>
    <r>
      <rPr>
        <vertAlign val="subscript"/>
        <sz val="12"/>
        <rFont val="Times New Roman"/>
        <family val="1"/>
      </rPr>
      <t>G(GF)</t>
    </r>
    <r>
      <rPr>
        <sz val="12"/>
        <rFont val="Times New Roman"/>
        <family val="1"/>
      </rPr>
      <t xml:space="preserve"> = (N</t>
    </r>
    <r>
      <rPr>
        <vertAlign val="subscript"/>
        <sz val="12"/>
        <rFont val="Times New Roman"/>
        <family val="1"/>
      </rPr>
      <t>T</t>
    </r>
    <r>
      <rPr>
        <sz val="12"/>
        <rFont val="Times New Roman"/>
        <family val="1"/>
      </rPr>
      <t xml:space="preserve"> x N</t>
    </r>
    <r>
      <rPr>
        <vertAlign val="subscript"/>
        <sz val="12"/>
        <rFont val="Times New Roman"/>
        <family val="1"/>
      </rPr>
      <t>SGF</t>
    </r>
    <r>
      <rPr>
        <sz val="12"/>
        <rFont val="Times New Roman"/>
        <family val="1"/>
      </rPr>
      <t xml:space="preserve"> x N</t>
    </r>
    <r>
      <rPr>
        <vertAlign val="subscript"/>
        <sz val="12"/>
        <rFont val="Times New Roman"/>
        <family val="1"/>
      </rPr>
      <t>EX</t>
    </r>
    <r>
      <rPr>
        <sz val="12"/>
        <rFont val="Times New Roman"/>
        <family val="1"/>
      </rPr>
      <t xml:space="preserve"> x Frac</t>
    </r>
    <r>
      <rPr>
        <vertAlign val="subscript"/>
        <sz val="12"/>
        <rFont val="Times New Roman"/>
        <family val="1"/>
      </rPr>
      <t>GazGF(T,SGF)</t>
    </r>
    <r>
      <rPr>
        <sz val="12"/>
        <rFont val="Times New Roman"/>
        <family val="1"/>
      </rPr>
      <t>) x CE</t>
    </r>
    <r>
      <rPr>
        <vertAlign val="subscript"/>
        <sz val="12"/>
        <rFont val="Times New Roman"/>
        <family val="1"/>
      </rPr>
      <t>4</t>
    </r>
    <r>
      <rPr>
        <sz val="12"/>
        <rFont val="Times New Roman"/>
        <family val="1"/>
      </rPr>
      <t xml:space="preserve"> x 44/28</t>
    </r>
  </si>
  <si>
    <r>
      <t>kg N</t>
    </r>
    <r>
      <rPr>
        <vertAlign val="subscript"/>
        <sz val="12"/>
        <rFont val="Times New Roman"/>
        <family val="1"/>
      </rPr>
      <t>2</t>
    </r>
    <r>
      <rPr>
        <sz val="12"/>
        <rFont val="Times New Roman"/>
        <family val="1"/>
      </rPr>
      <t>O-N/(kg NH</t>
    </r>
    <r>
      <rPr>
        <vertAlign val="subscript"/>
        <sz val="12"/>
        <rFont val="Times New Roman"/>
        <family val="1"/>
      </rPr>
      <t>3</t>
    </r>
    <r>
      <rPr>
        <sz val="12"/>
        <rFont val="Times New Roman"/>
        <family val="1"/>
      </rPr>
      <t>-N</t>
    </r>
  </si>
  <si>
    <r>
      <t>Émissions indirectes de N</t>
    </r>
    <r>
      <rPr>
        <b/>
        <vertAlign val="subscript"/>
        <sz val="12"/>
        <rFont val="Times New Roman"/>
        <family val="1"/>
      </rPr>
      <t>2</t>
    </r>
    <r>
      <rPr>
        <b/>
        <sz val="12"/>
        <rFont val="Times New Roman"/>
        <family val="1"/>
      </rPr>
      <t>O (lessivage)</t>
    </r>
  </si>
  <si>
    <r>
      <t>N</t>
    </r>
    <r>
      <rPr>
        <vertAlign val="subscript"/>
        <sz val="12"/>
        <rFont val="Times New Roman"/>
        <family val="1"/>
      </rPr>
      <t>2</t>
    </r>
    <r>
      <rPr>
        <sz val="12"/>
        <rFont val="Times New Roman"/>
        <family val="1"/>
      </rPr>
      <t>O</t>
    </r>
    <r>
      <rPr>
        <vertAlign val="subscript"/>
        <sz val="12"/>
        <rFont val="Times New Roman"/>
        <family val="1"/>
      </rPr>
      <t>L(GF)</t>
    </r>
    <r>
      <rPr>
        <sz val="12"/>
        <rFont val="Times New Roman"/>
        <family val="1"/>
      </rPr>
      <t xml:space="preserve"> = (N</t>
    </r>
    <r>
      <rPr>
        <vertAlign val="subscript"/>
        <sz val="12"/>
        <rFont val="Times New Roman"/>
        <family val="1"/>
      </rPr>
      <t>T</t>
    </r>
    <r>
      <rPr>
        <sz val="12"/>
        <rFont val="Times New Roman"/>
        <family val="1"/>
      </rPr>
      <t xml:space="preserve"> x N</t>
    </r>
    <r>
      <rPr>
        <vertAlign val="subscript"/>
        <sz val="12"/>
        <rFont val="Times New Roman"/>
        <family val="1"/>
      </rPr>
      <t>SGF</t>
    </r>
    <r>
      <rPr>
        <sz val="12"/>
        <rFont val="Times New Roman"/>
        <family val="1"/>
      </rPr>
      <t xml:space="preserve"> x N</t>
    </r>
    <r>
      <rPr>
        <vertAlign val="subscript"/>
        <sz val="12"/>
        <rFont val="Times New Roman"/>
        <family val="1"/>
      </rPr>
      <t>EX</t>
    </r>
    <r>
      <rPr>
        <sz val="12"/>
        <rFont val="Times New Roman"/>
        <family val="1"/>
      </rPr>
      <t xml:space="preserve"> x Frac</t>
    </r>
    <r>
      <rPr>
        <vertAlign val="subscript"/>
        <sz val="12"/>
        <rFont val="Times New Roman"/>
        <family val="1"/>
      </rPr>
      <t>LessSG(T,SGF)</t>
    </r>
    <r>
      <rPr>
        <sz val="12"/>
        <rFont val="Times New Roman"/>
        <family val="1"/>
      </rPr>
      <t>) x CE</t>
    </r>
    <r>
      <rPr>
        <vertAlign val="subscript"/>
        <sz val="12"/>
        <rFont val="Times New Roman"/>
        <family val="1"/>
      </rPr>
      <t>5</t>
    </r>
    <r>
      <rPr>
        <sz val="12"/>
        <rFont val="Times New Roman"/>
        <family val="1"/>
      </rPr>
      <t xml:space="preserve"> x 44/28</t>
    </r>
  </si>
  <si>
    <r>
      <t>Frac</t>
    </r>
    <r>
      <rPr>
        <vertAlign val="subscript"/>
        <sz val="12"/>
        <rFont val="Times New Roman"/>
        <family val="1"/>
      </rPr>
      <t>LessSG(T,SGF)</t>
    </r>
    <r>
      <rPr>
        <sz val="12"/>
        <rFont val="Times New Roman"/>
        <family val="1"/>
      </rPr>
      <t xml:space="preserve"> en fonction du type de SGF</t>
    </r>
  </si>
  <si>
    <r>
      <t>Frac</t>
    </r>
    <r>
      <rPr>
        <vertAlign val="subscript"/>
        <sz val="12"/>
        <rFont val="Times New Roman"/>
        <family val="1"/>
      </rPr>
      <t>LessSG(T,SGF)</t>
    </r>
    <r>
      <rPr>
        <sz val="12"/>
        <rFont val="Times New Roman"/>
        <family val="1"/>
      </rPr>
      <t xml:space="preserve"> </t>
    </r>
  </si>
  <si>
    <r>
      <t>CE</t>
    </r>
    <r>
      <rPr>
        <vertAlign val="subscript"/>
        <sz val="12"/>
        <rFont val="Times New Roman"/>
        <family val="1"/>
      </rPr>
      <t>5</t>
    </r>
  </si>
  <si>
    <r>
      <t>Frac</t>
    </r>
    <r>
      <rPr>
        <vertAlign val="subscript"/>
        <sz val="12"/>
        <rFont val="Times New Roman"/>
        <family val="1"/>
      </rPr>
      <t>LessSG(T,SGF)</t>
    </r>
    <r>
      <rPr>
        <sz val="12"/>
        <rFont val="Times New Roman"/>
        <family val="1"/>
      </rPr>
      <t xml:space="preserve"> par type de SGF</t>
    </r>
  </si>
  <si>
    <t xml:space="preserve">ECCC, RIN 2017, tableau A3-49, A3-50 (bovins laitiers seulement) </t>
  </si>
  <si>
    <t>Statistique Canada, Tableau de données sur les exploitations et les exploitants agricoles, https://www150.statcan.gc.ca/t1/tbl1/fr/tv.action?pid=3210041601</t>
  </si>
  <si>
    <r>
      <t>Taux d'excrétion d'azote (N</t>
    </r>
    <r>
      <rPr>
        <vertAlign val="subscript"/>
        <sz val="12"/>
        <rFont val="Times New Roman"/>
        <family val="1"/>
      </rPr>
      <t>EX</t>
    </r>
    <r>
      <rPr>
        <sz val="12"/>
        <rFont val="Times New Roman"/>
        <family val="1"/>
      </rPr>
      <t>)</t>
    </r>
  </si>
  <si>
    <r>
      <t>Émissions de CH</t>
    </r>
    <r>
      <rPr>
        <b/>
        <vertAlign val="subscript"/>
        <sz val="12"/>
        <color theme="1"/>
        <rFont val="Times New Roman"/>
        <family val="1"/>
      </rPr>
      <t xml:space="preserve">4 </t>
    </r>
    <r>
      <rPr>
        <b/>
        <sz val="12"/>
        <color theme="1"/>
        <rFont val="Times New Roman"/>
        <family val="1"/>
      </rPr>
      <t>associées à la fermentation entérique</t>
    </r>
  </si>
  <si>
    <t xml:space="preserve">Fumier épandu comme engrais azotés </t>
  </si>
  <si>
    <t>Équation A3-32 (RIN 2017)</t>
  </si>
  <si>
    <r>
      <t>N</t>
    </r>
    <r>
      <rPr>
        <vertAlign val="subscript"/>
        <sz val="12"/>
        <rFont val="Times New Roman"/>
        <family val="1"/>
      </rPr>
      <t xml:space="preserve">FUM-TC </t>
    </r>
    <r>
      <rPr>
        <sz val="12"/>
        <rFont val="Times New Roman"/>
        <family val="1"/>
      </rPr>
      <t>=(N</t>
    </r>
    <r>
      <rPr>
        <vertAlign val="subscript"/>
        <sz val="12"/>
        <rFont val="Times New Roman"/>
        <family val="1"/>
      </rPr>
      <t xml:space="preserve">T </t>
    </r>
    <r>
      <rPr>
        <sz val="12"/>
        <rFont val="Times New Roman"/>
        <family val="1"/>
      </rPr>
      <t>x N</t>
    </r>
    <r>
      <rPr>
        <vertAlign val="subscript"/>
        <sz val="12"/>
        <rFont val="Times New Roman"/>
        <family val="1"/>
      </rPr>
      <t>EX</t>
    </r>
    <r>
      <rPr>
        <sz val="12"/>
        <rFont val="Times New Roman"/>
        <family val="1"/>
      </rPr>
      <t>) x (1 - N</t>
    </r>
    <r>
      <rPr>
        <vertAlign val="subscript"/>
        <sz val="12"/>
        <rFont val="Times New Roman"/>
        <family val="1"/>
      </rPr>
      <t>PGPE,T</t>
    </r>
    <r>
      <rPr>
        <sz val="12"/>
        <rFont val="Times New Roman"/>
        <family val="1"/>
      </rPr>
      <t>) x (1 - FRAC</t>
    </r>
    <r>
      <rPr>
        <vertAlign val="subscript"/>
        <sz val="12"/>
        <rFont val="Times New Roman"/>
        <family val="1"/>
      </rPr>
      <t>(PerteM,T)</t>
    </r>
    <r>
      <rPr>
        <sz val="12"/>
        <rFont val="Times New Roman"/>
        <family val="1"/>
      </rPr>
      <t>)</t>
    </r>
  </si>
  <si>
    <r>
      <t>Nombre d'animaux (N</t>
    </r>
    <r>
      <rPr>
        <vertAlign val="subscript"/>
        <sz val="12"/>
        <rFont val="Times New Roman"/>
        <family val="1"/>
      </rPr>
      <t>T</t>
    </r>
    <r>
      <rPr>
        <sz val="12"/>
        <rFont val="Times New Roman"/>
        <family val="1"/>
      </rPr>
      <t>)</t>
    </r>
  </si>
  <si>
    <t>kgN/animal</t>
  </si>
  <si>
    <r>
      <t>N</t>
    </r>
    <r>
      <rPr>
        <vertAlign val="subscript"/>
        <sz val="12"/>
        <rFont val="Times New Roman"/>
        <family val="1"/>
      </rPr>
      <t>PGPE,T</t>
    </r>
  </si>
  <si>
    <t>ECCC, RIN 2017, tableau A3-49, A3-50 et A3-51</t>
  </si>
  <si>
    <t>ECCC, RIN 2017, équation A3-32 (0,35 Yang et al. 2007)</t>
  </si>
  <si>
    <r>
      <t>FRAC</t>
    </r>
    <r>
      <rPr>
        <vertAlign val="subscript"/>
        <sz val="12"/>
        <rFont val="Times New Roman"/>
        <family val="1"/>
      </rPr>
      <t>(PerteM,T)</t>
    </r>
  </si>
  <si>
    <r>
      <t>N</t>
    </r>
    <r>
      <rPr>
        <vertAlign val="subscript"/>
        <sz val="12"/>
        <rFont val="Times New Roman"/>
        <family val="1"/>
      </rPr>
      <t>FUM-TC</t>
    </r>
  </si>
  <si>
    <t>ECCC, RIN 2017, section A3.4.5.1 (Gregorich et al., 2005)</t>
  </si>
  <si>
    <r>
      <t>N2O</t>
    </r>
    <r>
      <rPr>
        <vertAlign val="subscript"/>
        <sz val="12"/>
        <rFont val="Times New Roman"/>
        <family val="1"/>
      </rPr>
      <t>L</t>
    </r>
  </si>
  <si>
    <t>ECCC, RIN 2017, équation A3-53</t>
  </si>
  <si>
    <r>
      <t>FRAC</t>
    </r>
    <r>
      <rPr>
        <vertAlign val="subscript"/>
        <sz val="12"/>
        <rFont val="Times New Roman"/>
        <family val="1"/>
      </rPr>
      <t>LESSIVAGE</t>
    </r>
  </si>
  <si>
    <t xml:space="preserve">Émissions provenant de l'azote du fumier épandu comme engrais </t>
  </si>
  <si>
    <r>
      <t>kg N</t>
    </r>
    <r>
      <rPr>
        <vertAlign val="subscript"/>
        <sz val="12"/>
        <rFont val="Times New Roman"/>
        <family val="1"/>
      </rPr>
      <t>2</t>
    </r>
    <r>
      <rPr>
        <sz val="12"/>
        <rFont val="Times New Roman"/>
        <family val="1"/>
      </rPr>
      <t>O</t>
    </r>
  </si>
  <si>
    <r>
      <t>Émissions de N</t>
    </r>
    <r>
      <rPr>
        <vertAlign val="subscript"/>
        <sz val="12"/>
        <rFont val="Times New Roman"/>
        <family val="1"/>
      </rPr>
      <t>2</t>
    </r>
    <r>
      <rPr>
        <sz val="12"/>
        <rFont val="Times New Roman"/>
        <family val="1"/>
      </rPr>
      <t>O - fumier épandu</t>
    </r>
  </si>
  <si>
    <t>Équation A3-31 (RIN 2017)</t>
  </si>
  <si>
    <r>
      <t>N</t>
    </r>
    <r>
      <rPr>
        <vertAlign val="subscript"/>
        <sz val="12"/>
        <rFont val="Times New Roman"/>
        <family val="1"/>
      </rPr>
      <t>2</t>
    </r>
    <r>
      <rPr>
        <sz val="12"/>
        <rFont val="Times New Roman"/>
        <family val="1"/>
      </rPr>
      <t>O</t>
    </r>
    <r>
      <rPr>
        <vertAlign val="subscript"/>
        <sz val="12"/>
        <rFont val="Times New Roman"/>
        <family val="1"/>
      </rPr>
      <t>FUM</t>
    </r>
    <r>
      <rPr>
        <sz val="12"/>
        <rFont val="Times New Roman"/>
        <family val="1"/>
      </rPr>
      <t xml:space="preserve"> = N</t>
    </r>
    <r>
      <rPr>
        <vertAlign val="subscript"/>
        <sz val="12"/>
        <rFont val="Times New Roman"/>
        <family val="1"/>
      </rPr>
      <t>FUM,TC</t>
    </r>
    <r>
      <rPr>
        <sz val="12"/>
        <rFont val="Times New Roman"/>
        <family val="1"/>
      </rPr>
      <t xml:space="preserve"> x CE</t>
    </r>
    <r>
      <rPr>
        <vertAlign val="subscript"/>
        <sz val="12"/>
        <rFont val="Times New Roman"/>
        <family val="1"/>
      </rPr>
      <t>BASE</t>
    </r>
    <r>
      <rPr>
        <sz val="12"/>
        <rFont val="Times New Roman"/>
        <family val="1"/>
      </rPr>
      <t xml:space="preserve"> x CR</t>
    </r>
    <r>
      <rPr>
        <vertAlign val="subscript"/>
        <sz val="12"/>
        <rFont val="Times New Roman"/>
        <family val="1"/>
      </rPr>
      <t>TEXTURE</t>
    </r>
    <r>
      <rPr>
        <sz val="12"/>
        <rFont val="Times New Roman"/>
        <family val="1"/>
      </rPr>
      <t>) x 44/28</t>
    </r>
  </si>
  <si>
    <r>
      <t>CR</t>
    </r>
    <r>
      <rPr>
        <vertAlign val="subscript"/>
        <sz val="12"/>
        <rFont val="Times New Roman"/>
        <family val="1"/>
      </rPr>
      <t>TEXTURE</t>
    </r>
  </si>
  <si>
    <t>RATIO</t>
  </si>
  <si>
    <r>
      <t>Fumier épandu sous forme d'engrais azotés (N</t>
    </r>
    <r>
      <rPr>
        <vertAlign val="subscript"/>
        <sz val="12"/>
        <rFont val="Times New Roman"/>
        <family val="1"/>
      </rPr>
      <t>FUM,TC</t>
    </r>
    <r>
      <rPr>
        <sz val="12"/>
        <rFont val="Times New Roman"/>
        <family val="1"/>
      </rPr>
      <t>)</t>
    </r>
  </si>
  <si>
    <t>Émissions provenant des engrais azotés inorganiques</t>
  </si>
  <si>
    <t>Équation A3-33 (RIN 2017)</t>
  </si>
  <si>
    <r>
      <t>N</t>
    </r>
    <r>
      <rPr>
        <vertAlign val="subscript"/>
        <sz val="12"/>
        <rFont val="Times New Roman"/>
        <family val="1"/>
      </rPr>
      <t>2</t>
    </r>
    <r>
      <rPr>
        <sz val="12"/>
        <rFont val="Times New Roman"/>
        <family val="1"/>
      </rPr>
      <t>O</t>
    </r>
    <r>
      <rPr>
        <vertAlign val="subscript"/>
        <sz val="12"/>
        <rFont val="Times New Roman"/>
        <family val="1"/>
      </rPr>
      <t>ESA</t>
    </r>
    <r>
      <rPr>
        <sz val="12"/>
        <rFont val="Times New Roman"/>
        <family val="1"/>
      </rPr>
      <t xml:space="preserve"> = N</t>
    </r>
    <r>
      <rPr>
        <vertAlign val="subscript"/>
        <sz val="12"/>
        <rFont val="Times New Roman"/>
        <family val="1"/>
      </rPr>
      <t>ENG</t>
    </r>
    <r>
      <rPr>
        <sz val="12"/>
        <rFont val="Times New Roman"/>
        <family val="1"/>
      </rPr>
      <t xml:space="preserve"> x CE</t>
    </r>
    <r>
      <rPr>
        <vertAlign val="subscript"/>
        <sz val="12"/>
        <rFont val="Times New Roman"/>
        <family val="1"/>
      </rPr>
      <t>BASE</t>
    </r>
    <r>
      <rPr>
        <sz val="12"/>
        <rFont val="Times New Roman"/>
        <family val="1"/>
      </rPr>
      <t xml:space="preserve"> x CR</t>
    </r>
    <r>
      <rPr>
        <vertAlign val="subscript"/>
        <sz val="12"/>
        <rFont val="Times New Roman"/>
        <family val="1"/>
      </rPr>
      <t>TEXTURE</t>
    </r>
    <r>
      <rPr>
        <sz val="12"/>
        <rFont val="Times New Roman"/>
        <family val="1"/>
      </rPr>
      <t>) x 44/28</t>
    </r>
  </si>
  <si>
    <r>
      <t>Épandage potentiel d'engrais synthétique (N</t>
    </r>
    <r>
      <rPr>
        <vertAlign val="subscript"/>
        <sz val="12"/>
        <rFont val="Times New Roman"/>
        <family val="1"/>
      </rPr>
      <t>ENG</t>
    </r>
    <r>
      <rPr>
        <sz val="12"/>
        <rFont val="Times New Roman"/>
        <family val="1"/>
      </rPr>
      <t>)</t>
    </r>
  </si>
  <si>
    <t>Épandage recommandé d'engrais</t>
  </si>
  <si>
    <t>Équation A3-35 (RIN 2017)</t>
  </si>
  <si>
    <r>
      <t>N</t>
    </r>
    <r>
      <rPr>
        <vertAlign val="subscript"/>
        <sz val="12"/>
        <rFont val="Times New Roman"/>
        <family val="1"/>
      </rPr>
      <t>RCMD</t>
    </r>
    <r>
      <rPr>
        <sz val="12"/>
        <rFont val="Times New Roman"/>
        <family val="1"/>
      </rPr>
      <t xml:space="preserve"> = CROPA x N</t>
    </r>
    <r>
      <rPr>
        <vertAlign val="subscript"/>
        <sz val="12"/>
        <rFont val="Times New Roman"/>
        <family val="1"/>
      </rPr>
      <t>RECRT</t>
    </r>
    <r>
      <rPr>
        <sz val="12"/>
        <rFont val="Times New Roman"/>
        <family val="1"/>
      </rPr>
      <t xml:space="preserve"> </t>
    </r>
  </si>
  <si>
    <r>
      <t>Fertilisation recommandée (N</t>
    </r>
    <r>
      <rPr>
        <vertAlign val="subscript"/>
        <sz val="12"/>
        <rFont val="Times New Roman"/>
        <family val="1"/>
      </rPr>
      <t>RECRT</t>
    </r>
    <r>
      <rPr>
        <sz val="12"/>
        <rFont val="Times New Roman"/>
        <family val="1"/>
      </rPr>
      <t>)</t>
    </r>
  </si>
  <si>
    <t>Superficie de culture (CROPA)</t>
  </si>
  <si>
    <r>
      <t>N</t>
    </r>
    <r>
      <rPr>
        <vertAlign val="subscript"/>
        <sz val="12"/>
        <rFont val="Times New Roman"/>
        <family val="1"/>
      </rPr>
      <t>RCMD</t>
    </r>
  </si>
  <si>
    <t>Quantité d'engrais azotés potentiellement épandus</t>
  </si>
  <si>
    <t>Équation A3-34 (RIN 2017)</t>
  </si>
  <si>
    <r>
      <t>N</t>
    </r>
    <r>
      <rPr>
        <vertAlign val="subscript"/>
        <sz val="12"/>
        <rFont val="Times New Roman"/>
        <family val="1"/>
      </rPr>
      <t>APPL</t>
    </r>
    <r>
      <rPr>
        <sz val="12"/>
        <rFont val="Times New Roman"/>
        <family val="1"/>
      </rPr>
      <t xml:space="preserve"> = N</t>
    </r>
    <r>
      <rPr>
        <vertAlign val="subscript"/>
        <sz val="12"/>
        <rFont val="Times New Roman"/>
        <family val="1"/>
      </rPr>
      <t>RCMD</t>
    </r>
    <r>
      <rPr>
        <sz val="12"/>
        <rFont val="Times New Roman"/>
        <family val="1"/>
      </rPr>
      <t xml:space="preserve"> - N</t>
    </r>
    <r>
      <rPr>
        <vertAlign val="subscript"/>
        <sz val="12"/>
        <rFont val="Times New Roman"/>
        <family val="1"/>
      </rPr>
      <t>FUM-D,TC</t>
    </r>
  </si>
  <si>
    <t>Équation A3-18 (RIN 2017)</t>
  </si>
  <si>
    <r>
      <t>CH</t>
    </r>
    <r>
      <rPr>
        <vertAlign val="subscript"/>
        <sz val="12"/>
        <rFont val="Times New Roman"/>
        <family val="1"/>
      </rPr>
      <t>4FE</t>
    </r>
    <r>
      <rPr>
        <sz val="12"/>
        <rFont val="Times New Roman"/>
        <family val="1"/>
      </rPr>
      <t xml:space="preserve"> = N x CE</t>
    </r>
    <r>
      <rPr>
        <vertAlign val="subscript"/>
        <sz val="12"/>
        <rFont val="Times New Roman"/>
        <family val="1"/>
      </rPr>
      <t xml:space="preserve">(FE) </t>
    </r>
    <r>
      <rPr>
        <sz val="12"/>
        <rFont val="Times New Roman"/>
        <family val="1"/>
      </rPr>
      <t xml:space="preserve">   </t>
    </r>
  </si>
  <si>
    <r>
      <t>Émissions de CH</t>
    </r>
    <r>
      <rPr>
        <b/>
        <vertAlign val="subscript"/>
        <sz val="12"/>
        <rFont val="Times New Roman"/>
        <family val="1"/>
      </rPr>
      <t>4</t>
    </r>
    <r>
      <rPr>
        <b/>
        <sz val="12"/>
        <rFont val="Times New Roman"/>
        <family val="1"/>
      </rPr>
      <t xml:space="preserve"> associées à la fermentation entérique</t>
    </r>
  </si>
  <si>
    <t>Fumier épandu comme engrais azoté</t>
  </si>
  <si>
    <t>Quantité totale d'engrais azotés potentiellement épandus</t>
  </si>
  <si>
    <r>
      <t>N</t>
    </r>
    <r>
      <rPr>
        <vertAlign val="subscript"/>
        <sz val="12"/>
        <rFont val="Times New Roman"/>
        <family val="1"/>
      </rPr>
      <t>APPL</t>
    </r>
  </si>
  <si>
    <r>
      <t>Épandage recommandé d'engrais (N</t>
    </r>
    <r>
      <rPr>
        <vertAlign val="subscript"/>
        <sz val="12"/>
        <rFont val="Times New Roman"/>
        <family val="1"/>
      </rPr>
      <t>RCMD</t>
    </r>
    <r>
      <rPr>
        <sz val="12"/>
        <rFont val="Times New Roman"/>
        <family val="1"/>
      </rPr>
      <t>)</t>
    </r>
  </si>
  <si>
    <t>Émissions associées au lessivage et ruissellement d'azote</t>
  </si>
  <si>
    <t>Équation A3-53 (RIN 2017)</t>
  </si>
  <si>
    <r>
      <t>N</t>
    </r>
    <r>
      <rPr>
        <vertAlign val="subscript"/>
        <sz val="12"/>
        <rFont val="Times New Roman"/>
        <family val="1"/>
      </rPr>
      <t>2</t>
    </r>
    <r>
      <rPr>
        <sz val="12"/>
        <rFont val="Times New Roman"/>
        <family val="1"/>
      </rPr>
      <t>O</t>
    </r>
    <r>
      <rPr>
        <vertAlign val="subscript"/>
        <sz val="12"/>
        <rFont val="Times New Roman"/>
        <family val="1"/>
      </rPr>
      <t>L</t>
    </r>
    <r>
      <rPr>
        <sz val="12"/>
        <rFont val="Times New Roman"/>
        <family val="1"/>
      </rPr>
      <t xml:space="preserve"> = N</t>
    </r>
    <r>
      <rPr>
        <vertAlign val="subscript"/>
        <sz val="12"/>
        <rFont val="Times New Roman"/>
        <family val="1"/>
      </rPr>
      <t>ENG</t>
    </r>
    <r>
      <rPr>
        <sz val="12"/>
        <rFont val="Times New Roman"/>
        <family val="1"/>
      </rPr>
      <t xml:space="preserve"> + N</t>
    </r>
    <r>
      <rPr>
        <vertAlign val="subscript"/>
        <sz val="12"/>
        <rFont val="Times New Roman"/>
        <family val="1"/>
      </rPr>
      <t xml:space="preserve">FUM-D,TC </t>
    </r>
    <r>
      <rPr>
        <sz val="12"/>
        <rFont val="Times New Roman"/>
        <family val="1"/>
      </rPr>
      <t>+ FUM</t>
    </r>
    <r>
      <rPr>
        <vertAlign val="subscript"/>
        <sz val="12"/>
        <rFont val="Times New Roman"/>
        <family val="1"/>
      </rPr>
      <t>PGPE</t>
    </r>
    <r>
      <rPr>
        <sz val="12"/>
        <rFont val="Times New Roman"/>
        <family val="1"/>
      </rPr>
      <t xml:space="preserve"> + N</t>
    </r>
    <r>
      <rPr>
        <vertAlign val="subscript"/>
        <sz val="12"/>
        <rFont val="Times New Roman"/>
        <family val="1"/>
      </rPr>
      <t>RES</t>
    </r>
    <r>
      <rPr>
        <sz val="12"/>
        <rFont val="Times New Roman"/>
        <family val="1"/>
      </rPr>
      <t>) x FRAC</t>
    </r>
    <r>
      <rPr>
        <vertAlign val="subscript"/>
        <sz val="12"/>
        <rFont val="Times New Roman"/>
        <family val="1"/>
      </rPr>
      <t>LESSIVAGE</t>
    </r>
    <r>
      <rPr>
        <sz val="12"/>
        <rFont val="Times New Roman"/>
        <family val="1"/>
      </rPr>
      <t xml:space="preserve"> X CE</t>
    </r>
    <r>
      <rPr>
        <vertAlign val="subscript"/>
        <sz val="12"/>
        <rFont val="Times New Roman"/>
        <family val="1"/>
      </rPr>
      <t>5</t>
    </r>
    <r>
      <rPr>
        <sz val="12"/>
        <rFont val="Times New Roman"/>
        <family val="1"/>
      </rPr>
      <t xml:space="preserve"> X 44/28</t>
    </r>
  </si>
  <si>
    <t>Émissions lessivage et ruissellement</t>
  </si>
  <si>
    <t>ECCC, RIN 2017, Figure A3-10</t>
  </si>
  <si>
    <t xml:space="preserve">Sources directes </t>
  </si>
  <si>
    <t>Source: Inventaire québécois des émissions de gaz à effet de serre pour l'année 2016</t>
  </si>
  <si>
    <t>Production et consommation d’halocarbures, de SF6 et de NF3</t>
  </si>
  <si>
    <t>(1)  Données 2006 provenant de l'Inventaire global des émissions de GES de l'agglomération de Québec, Février 2008, Tecsult.</t>
  </si>
  <si>
    <t>(2)  Données 2010 provenant de l'Inventaire global des émissions de GES de l'agglomération de Québec, Avril 2012, SNC-Lavalin inc.</t>
  </si>
  <si>
    <t>Émissions associées à la gestion des sols agricoles agricole (application d'engrais de synthèses et de fumier, lessivage et ruissellement de l'azote,  etc.)</t>
  </si>
  <si>
    <t>Émissions fugitives associées à la production et à la consommation (fuites) d'halocarbures (réfrigérants et agents de gonflement)</t>
  </si>
  <si>
    <t>Émissions associées à la fabrication et à  l'utilisation d'autres produits</t>
  </si>
  <si>
    <t>Émissions associées à l'utilisation de produits non-énergétiques provenant de combustibles et de solvant</t>
  </si>
  <si>
    <t>SOMMAIRE DES ÉMISSIONS DE GES PROVENANT DE LA COLLECTIVITÉ DE L'AGGLOMÉRATION DE QUÉBEC</t>
  </si>
  <si>
    <t>*Estimé à partir des données historiques du Rôle d'évaluation et des données statistiques de l'OEÉ. Voir chiffrier Résidentiel pour plus de détails</t>
  </si>
  <si>
    <t>(3) Statistique Canada, Le transport maritime au Canada</t>
  </si>
  <si>
    <r>
      <t>FAITS SAILLANTS 2017
* L'importance relative des émissions de transport routier au sein de la collectivité est en constante progression depuis 1990 (50% des émissions totales en 2017, comparativement à 45% en 2010).
* On observe des réductions d'émissions importantes dans les bâtiments du secteur résidentiel (-21%). Ces réductions sont majoritairement attribuables à l'abandon progressif du mazout (118 ML en 2010 versus 83 ML en 2017).
* On observe des réductions importantes dans le secteur commercial et institutionnel (CI), soit une diminution de 28% des émissions par rapport à 2010. Ces réductions sont attribuables principalement à une diminution de la consommation de mazout léger (de 63 ML à 36 ML) ainsi qu'à la diminution très importante de consommation de mazout lourd (27 ML à 1,7 ML). De plus, contrairement au secteur résidentiel, on note une diminution plus modeste mais néanmoins significative de consommation de gaz naturel (de 155 Mm</t>
    </r>
    <r>
      <rPr>
        <vertAlign val="superscript"/>
        <sz val="12"/>
        <rFont val="Times New Roman"/>
        <family val="1"/>
      </rPr>
      <t>3</t>
    </r>
    <r>
      <rPr>
        <sz val="12"/>
        <rFont val="Times New Roman"/>
        <family val="1"/>
      </rPr>
      <t xml:space="preserve"> à 146 Mm</t>
    </r>
    <r>
      <rPr>
        <vertAlign val="superscript"/>
        <sz val="12"/>
        <rFont val="Times New Roman"/>
        <family val="1"/>
      </rPr>
      <t>3</t>
    </r>
    <r>
      <rPr>
        <sz val="12"/>
        <rFont val="Times New Roman"/>
        <family val="1"/>
      </rPr>
      <t>) probablement attribuable à l'adoption croissante de diverses mesures d'efficacité énergétique.
* Les réductions d'émissions proviennent du secteur résidentiel (-84 kt), du secteur CI (-159 kt) ainsi que du secteur du transport hors-route (-97 kt), pour un total de réductions d'environ -341 kt. Ces réductions sont presque complètement annulées par l'augmentation des émissions dans le secteur du transport (+196 kt), dans le secteur industriel (+ 9 kt) et dans le secteur des halocarbures et autres produits (+117 kt), pour un total de +321 kt.</t>
    </r>
  </si>
  <si>
    <r>
      <t>GJ/m</t>
    </r>
    <r>
      <rPr>
        <vertAlign val="superscript"/>
        <sz val="12"/>
        <rFont val="Times New Roman"/>
        <family val="1"/>
      </rPr>
      <t>3</t>
    </r>
  </si>
  <si>
    <t>GJ/L</t>
  </si>
  <si>
    <t>DMS - DONNÉES HISTORIQUES</t>
  </si>
  <si>
    <t>PARAMÈTRES LANDGEM</t>
  </si>
  <si>
    <t>RÉSULTATS LANDGEM (ONGLET "RESULTS")</t>
  </si>
  <si>
    <t>*Estimé à partir des données historiques du Rôle d'évaluation et des données statistiques de l'OEÉ. Voir chiffrier CI pour plus de détails</t>
  </si>
  <si>
    <r>
      <t>CO</t>
    </r>
    <r>
      <rPr>
        <vertAlign val="subscript"/>
        <sz val="12"/>
        <color theme="0"/>
        <rFont val="Times New Roman"/>
        <family val="1"/>
      </rPr>
      <t>2</t>
    </r>
  </si>
  <si>
    <r>
      <t>CH</t>
    </r>
    <r>
      <rPr>
        <vertAlign val="subscript"/>
        <sz val="12"/>
        <color theme="0"/>
        <rFont val="Times New Roman"/>
        <family val="1"/>
      </rPr>
      <t>4</t>
    </r>
  </si>
  <si>
    <r>
      <t>N</t>
    </r>
    <r>
      <rPr>
        <vertAlign val="subscript"/>
        <sz val="12"/>
        <color theme="0"/>
        <rFont val="Times New Roman"/>
        <family val="1"/>
      </rPr>
      <t>2</t>
    </r>
    <r>
      <rPr>
        <sz val="12"/>
        <color theme="0"/>
        <rFont val="Times New Roman"/>
        <family val="1"/>
      </rPr>
      <t>O</t>
    </r>
  </si>
  <si>
    <r>
      <t>SF</t>
    </r>
    <r>
      <rPr>
        <vertAlign val="subscript"/>
        <sz val="12"/>
        <color theme="0"/>
        <rFont val="Times New Roman"/>
        <family val="1"/>
      </rPr>
      <t>6</t>
    </r>
  </si>
  <si>
    <r>
      <t>NF</t>
    </r>
    <r>
      <rPr>
        <vertAlign val="subscript"/>
        <sz val="12"/>
        <color theme="0"/>
        <rFont val="Times New Roman"/>
        <family val="1"/>
      </rPr>
      <t>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</si>
</sst>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164" formatCode="_-* #,##0.00\ _$_-;\-* #,##0.00\ _$_-;_-* &quot;-&quot;??\ _$_-;_-@_-"/>
    <numFmt numFmtId="165" formatCode="#,##0.0"/>
    <numFmt numFmtId="166" formatCode="0.000"/>
    <numFmt numFmtId="167" formatCode="0.0"/>
    <numFmt numFmtId="168" formatCode="#,##0.0000"/>
    <numFmt numFmtId="169" formatCode="0.0%"/>
    <numFmt numFmtId="170" formatCode="0.0000"/>
    <numFmt numFmtId="171" formatCode="_-* #,##0.00\ [$€-1]_-;\-* #,##0.00\ [$€-1]_-;_-* &quot;-&quot;??\ [$€-1]_-"/>
    <numFmt numFmtId="172" formatCode="0.000E+00"/>
    <numFmt numFmtId="173" formatCode="0.00000"/>
    <numFmt numFmtId="174" formatCode="0.0E+00"/>
  </numFmts>
  <fonts count="100" x14ac:knownFonts="1">
    <font>
      <sz val="10"/>
      <name val="Times New Roman"/>
    </font>
    <font>
      <sz val="10"/>
      <color theme="1"/>
      <name val="Arial"/>
      <family val="2"/>
    </font>
    <font>
      <sz val="10"/>
      <name val="Times New Roman"/>
      <family val="1"/>
    </font>
    <font>
      <sz val="8"/>
      <name val="Times New Roman"/>
      <family val="1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u/>
      <sz val="10"/>
      <color indexed="12"/>
      <name val="Times New Roman"/>
      <family val="1"/>
    </font>
    <font>
      <sz val="8"/>
      <name val="Times New Roman"/>
      <family val="1"/>
    </font>
    <font>
      <sz val="10"/>
      <name val="Arial"/>
      <family val="2"/>
    </font>
    <font>
      <sz val="10"/>
      <name val="Arial"/>
      <family val="2"/>
    </font>
    <font>
      <sz val="11"/>
      <color indexed="31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u/>
      <sz val="10"/>
      <color indexed="12"/>
      <name val="Times New Roman"/>
      <family val="1"/>
    </font>
    <font>
      <b/>
      <sz val="10"/>
      <name val="Times New Roman"/>
      <family val="1"/>
    </font>
    <font>
      <sz val="12"/>
      <name val="Times New Roman"/>
      <family val="1"/>
    </font>
    <font>
      <i/>
      <sz val="8"/>
      <name val="Times New Roman"/>
      <family val="1"/>
    </font>
    <font>
      <vertAlign val="superscript"/>
      <sz val="10"/>
      <name val="Times New Roman"/>
      <family val="1"/>
    </font>
    <font>
      <vertAlign val="subscript"/>
      <sz val="10"/>
      <name val="Times New Roman"/>
      <family val="1"/>
    </font>
    <font>
      <sz val="10"/>
      <name val="Times New Roman"/>
      <family val="1"/>
    </font>
    <font>
      <sz val="10"/>
      <name val="Arial"/>
      <family val="2"/>
    </font>
    <font>
      <sz val="10"/>
      <color indexed="8"/>
      <name val="Arial"/>
      <family val="2"/>
    </font>
    <font>
      <sz val="10"/>
      <color rgb="FFFF0000"/>
      <name val="Times New Roman"/>
      <family val="1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i/>
      <sz val="12"/>
      <color theme="4" tint="-0.249977111117893"/>
      <name val="Times New Roman"/>
      <family val="1"/>
    </font>
    <font>
      <b/>
      <sz val="12"/>
      <color theme="1"/>
      <name val="Times New Roman"/>
      <family val="1"/>
    </font>
    <font>
      <b/>
      <sz val="12"/>
      <name val="Times New Roman"/>
      <family val="1"/>
    </font>
    <font>
      <b/>
      <vertAlign val="subscript"/>
      <sz val="12"/>
      <name val="Times New Roman"/>
      <family val="1"/>
    </font>
    <font>
      <b/>
      <vertAlign val="superscript"/>
      <sz val="12"/>
      <name val="Times New Roman"/>
      <family val="1"/>
    </font>
    <font>
      <i/>
      <sz val="12"/>
      <name val="Times New Roman"/>
      <family val="1"/>
    </font>
    <font>
      <b/>
      <sz val="12"/>
      <color theme="0"/>
      <name val="Times New Roman"/>
      <family val="1"/>
    </font>
    <font>
      <sz val="12"/>
      <color theme="0"/>
      <name val="Times New Roman"/>
      <family val="1"/>
    </font>
    <font>
      <sz val="11"/>
      <color theme="0"/>
      <name val="Calibri"/>
      <family val="2"/>
      <scheme val="minor"/>
    </font>
    <font>
      <sz val="12"/>
      <color theme="6" tint="-0.249977111117893"/>
      <name val="Times New Roman"/>
      <family val="1"/>
    </font>
    <font>
      <sz val="10"/>
      <color theme="0"/>
      <name val="Times New Roman"/>
      <family val="1"/>
    </font>
    <font>
      <b/>
      <vertAlign val="subscript"/>
      <sz val="10"/>
      <name val="Times New Roman"/>
      <family val="1"/>
    </font>
    <font>
      <b/>
      <vertAlign val="superscript"/>
      <sz val="10"/>
      <name val="Times New Roman"/>
      <family val="1"/>
    </font>
    <font>
      <sz val="14"/>
      <color theme="0"/>
      <name val="Times New Roman"/>
      <family val="1"/>
    </font>
    <font>
      <b/>
      <sz val="12"/>
      <color theme="6" tint="-0.499984740745262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vertAlign val="subscript"/>
      <sz val="9"/>
      <name val="Times New Roman"/>
      <family val="1"/>
    </font>
    <font>
      <i/>
      <sz val="9"/>
      <name val="Times New Roman"/>
      <family val="1"/>
    </font>
    <font>
      <b/>
      <vertAlign val="subscript"/>
      <sz val="9"/>
      <name val="Times New Roman"/>
      <family val="1"/>
    </font>
    <font>
      <b/>
      <sz val="9"/>
      <name val="Times New Roman"/>
      <family val="1"/>
    </font>
    <font>
      <i/>
      <sz val="10"/>
      <name val="Times New Roman"/>
      <family val="1"/>
    </font>
    <font>
      <i/>
      <vertAlign val="subscript"/>
      <sz val="10"/>
      <name val="Times New Roman"/>
      <family val="1"/>
    </font>
    <font>
      <i/>
      <vertAlign val="superscript"/>
      <sz val="8"/>
      <color indexed="8"/>
      <name val="Times New Roman"/>
      <family val="1"/>
    </font>
    <font>
      <u/>
      <sz val="8"/>
      <color indexed="12"/>
      <name val="Times New Roman"/>
      <family val="1"/>
    </font>
    <font>
      <i/>
      <vertAlign val="subscript"/>
      <sz val="9"/>
      <name val="Times New Roman"/>
      <family val="1"/>
    </font>
    <font>
      <b/>
      <sz val="10"/>
      <color indexed="10"/>
      <name val="Times New Roman"/>
      <family val="1"/>
    </font>
    <font>
      <b/>
      <sz val="10"/>
      <color theme="6" tint="-0.499984740745262"/>
      <name val="Times New Roman"/>
      <family val="1"/>
    </font>
    <font>
      <b/>
      <sz val="10"/>
      <color theme="1"/>
      <name val="Times New Roman"/>
      <family val="1"/>
    </font>
    <font>
      <b/>
      <sz val="10"/>
      <color theme="0"/>
      <name val="Times New Roman"/>
      <family val="1"/>
    </font>
    <font>
      <b/>
      <sz val="12"/>
      <color theme="6" tint="-0.249977111117893"/>
      <name val="Times New Roman"/>
      <family val="1"/>
    </font>
    <font>
      <b/>
      <vertAlign val="superscript"/>
      <sz val="10"/>
      <color theme="1"/>
      <name val="Times New Roman"/>
      <family val="1"/>
    </font>
    <font>
      <vertAlign val="subscript"/>
      <sz val="12"/>
      <name val="Times New Roman"/>
      <family val="1"/>
    </font>
    <font>
      <vertAlign val="subscript"/>
      <sz val="11"/>
      <name val="Times New Roman"/>
      <family val="1"/>
    </font>
    <font>
      <sz val="9"/>
      <color indexed="8"/>
      <name val="Times New Roman"/>
      <family val="1"/>
    </font>
    <font>
      <b/>
      <sz val="13"/>
      <color indexed="18"/>
      <name val="Times New Roman"/>
      <family val="1"/>
    </font>
    <font>
      <sz val="14"/>
      <name val="Times New Roman"/>
      <family val="1"/>
    </font>
    <font>
      <b/>
      <sz val="14"/>
      <color theme="0"/>
      <name val="Times New Roman"/>
      <family val="1"/>
    </font>
    <font>
      <sz val="12"/>
      <color theme="1"/>
      <name val="Calibri"/>
      <family val="2"/>
      <scheme val="minor"/>
    </font>
    <font>
      <b/>
      <sz val="9"/>
      <color theme="0"/>
      <name val="Times New Roman"/>
      <family val="1"/>
    </font>
    <font>
      <vertAlign val="superscript"/>
      <sz val="12"/>
      <name val="Times New Roman"/>
      <family val="1"/>
    </font>
    <font>
      <vertAlign val="subscript"/>
      <sz val="14"/>
      <name val="Times New Roman"/>
      <family val="1"/>
    </font>
    <font>
      <i/>
      <vertAlign val="subscript"/>
      <sz val="12"/>
      <name val="Times New Roman"/>
      <family val="1"/>
    </font>
    <font>
      <b/>
      <sz val="8"/>
      <color theme="0"/>
      <name val="Times New Roman"/>
      <family val="1"/>
    </font>
    <font>
      <b/>
      <vertAlign val="subscript"/>
      <sz val="10"/>
      <color theme="1"/>
      <name val="Times New Roman"/>
      <family val="1"/>
    </font>
    <font>
      <sz val="14"/>
      <color theme="9" tint="0.39997558519241921"/>
      <name val="Times New Roman"/>
      <family val="1"/>
    </font>
    <font>
      <sz val="14"/>
      <color theme="1"/>
      <name val="Times New Roman"/>
      <family val="1"/>
    </font>
    <font>
      <sz val="12"/>
      <color rgb="FF000000"/>
      <name val="Calibri"/>
      <family val="2"/>
    </font>
    <font>
      <i/>
      <sz val="12"/>
      <color theme="1"/>
      <name val="Times New Roman"/>
      <family val="1"/>
    </font>
    <font>
      <vertAlign val="subscript"/>
      <sz val="12"/>
      <color theme="0"/>
      <name val="Times New Roman"/>
      <family val="1"/>
    </font>
    <font>
      <b/>
      <vertAlign val="subscript"/>
      <sz val="12"/>
      <color theme="0"/>
      <name val="Times New Roman"/>
      <family val="1"/>
    </font>
    <font>
      <sz val="12"/>
      <color rgb="FF000000"/>
      <name val="Times New Roman"/>
      <family val="1"/>
    </font>
    <font>
      <vertAlign val="superscript"/>
      <sz val="12"/>
      <color rgb="FF000000"/>
      <name val="Times New Roman"/>
      <family val="1"/>
    </font>
    <font>
      <i/>
      <vertAlign val="superscript"/>
      <sz val="12"/>
      <color theme="1"/>
      <name val="Times New Roman"/>
      <family val="1"/>
    </font>
    <font>
      <b/>
      <vertAlign val="superscript"/>
      <sz val="12"/>
      <color theme="1"/>
      <name val="Times New Roman"/>
      <family val="1"/>
    </font>
    <font>
      <vertAlign val="superscript"/>
      <sz val="12"/>
      <color theme="0"/>
      <name val="Times New Roman"/>
      <family val="1"/>
    </font>
    <font>
      <sz val="11"/>
      <color theme="0"/>
      <name val="Times New Roman"/>
      <family val="1"/>
    </font>
    <font>
      <b/>
      <vertAlign val="superscript"/>
      <sz val="12"/>
      <color theme="0"/>
      <name val="Times New Roman"/>
      <family val="1"/>
    </font>
    <font>
      <sz val="10"/>
      <color theme="1"/>
      <name val="Times New Roman"/>
      <family val="1"/>
    </font>
    <font>
      <b/>
      <vertAlign val="subscript"/>
      <sz val="12"/>
      <color theme="1"/>
      <name val="Times New Roman"/>
      <family val="1"/>
    </font>
    <font>
      <b/>
      <sz val="14"/>
      <name val="Times New Roman"/>
      <family val="1"/>
    </font>
  </fonts>
  <fills count="40">
    <fill>
      <patternFill patternType="none"/>
    </fill>
    <fill>
      <patternFill patternType="gray125"/>
    </fill>
    <fill>
      <patternFill patternType="solid">
        <fgColor indexed="28"/>
      </patternFill>
    </fill>
    <fill>
      <patternFill patternType="solid">
        <fgColor indexed="32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33"/>
      </patternFill>
    </fill>
    <fill>
      <patternFill patternType="solid">
        <fgColor indexed="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975505"/>
        <bgColor indexed="64"/>
      </patternFill>
    </fill>
    <fill>
      <patternFill patternType="solid">
        <fgColor rgb="FFF1E10F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EC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rgb="FFF1CE0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FF"/>
        <bgColor rgb="FF000000"/>
      </patternFill>
    </fill>
  </fills>
  <borders count="5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33"/>
      </left>
      <right style="thin">
        <color indexed="33"/>
      </right>
      <top style="thin">
        <color indexed="33"/>
      </top>
      <bottom style="thin">
        <color indexed="3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8"/>
      </bottom>
      <diagonal/>
    </border>
    <border>
      <left/>
      <right/>
      <top/>
      <bottom style="medium">
        <color indexed="2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</borders>
  <cellStyleXfs count="52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2" borderId="0" applyNumberFormat="0" applyBorder="0" applyAlignment="0" applyProtection="0"/>
    <xf numFmtId="0" fontId="6" fillId="6" borderId="0" applyNumberFormat="0" applyBorder="0" applyAlignment="0" applyProtection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9" borderId="0" applyNumberFormat="0" applyBorder="0" applyAlignment="0" applyProtection="0"/>
    <xf numFmtId="0" fontId="6" fillId="2" borderId="0" applyNumberFormat="0" applyBorder="0" applyAlignment="0" applyProtection="0"/>
    <xf numFmtId="0" fontId="6" fillId="6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9" borderId="0" applyNumberFormat="0" applyBorder="0" applyAlignment="0" applyProtection="0"/>
    <xf numFmtId="0" fontId="7" fillId="2" borderId="0" applyNumberFormat="0" applyBorder="0" applyAlignment="0" applyProtection="0"/>
    <xf numFmtId="0" fontId="7" fillId="6" borderId="0" applyNumberFormat="0" applyBorder="0" applyAlignment="0" applyProtection="0"/>
    <xf numFmtId="0" fontId="17" fillId="0" borderId="0" applyNumberFormat="0" applyFill="0" applyBorder="0" applyAlignment="0" applyProtection="0"/>
    <xf numFmtId="0" fontId="9" fillId="5" borderId="1" applyNumberFormat="0" applyAlignment="0" applyProtection="0"/>
    <xf numFmtId="0" fontId="13" fillId="0" borderId="2" applyNumberFormat="0" applyFill="0" applyAlignment="0" applyProtection="0"/>
    <xf numFmtId="0" fontId="20" fillId="10" borderId="4" applyNumberFormat="0" applyFont="0" applyAlignment="0" applyProtection="0"/>
    <xf numFmtId="0" fontId="22" fillId="6" borderId="1" applyNumberFormat="0" applyAlignment="0" applyProtection="0"/>
    <xf numFmtId="171" fontId="21" fillId="0" borderId="0" applyFont="0" applyFill="0" applyBorder="0" applyAlignment="0" applyProtection="0"/>
    <xf numFmtId="0" fontId="8" fillId="7" borderId="0" applyNumberFormat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27" fillId="0" borderId="0" applyNumberFormat="0" applyFill="0" applyBorder="0" applyAlignment="0" applyProtection="0">
      <alignment vertical="top"/>
      <protection locked="0"/>
    </xf>
    <xf numFmtId="0" fontId="14" fillId="10" borderId="0" applyNumberFormat="0" applyBorder="0" applyAlignment="0" applyProtection="0"/>
    <xf numFmtId="0" fontId="2" fillId="0" borderId="0"/>
    <xf numFmtId="9" fontId="2" fillId="0" borderId="0" applyFont="0" applyFill="0" applyBorder="0" applyAlignment="0" applyProtection="0"/>
    <xf numFmtId="0" fontId="12" fillId="8" borderId="0" applyNumberFormat="0" applyBorder="0" applyAlignment="0" applyProtection="0"/>
    <xf numFmtId="0" fontId="15" fillId="5" borderId="5" applyNumberFormat="0" applyAlignment="0" applyProtection="0"/>
    <xf numFmtId="0" fontId="11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6" applyNumberFormat="0" applyFill="0" applyAlignment="0" applyProtection="0"/>
    <xf numFmtId="0" fontId="25" fillId="0" borderId="7" applyNumberFormat="0" applyFill="0" applyAlignment="0" applyProtection="0"/>
    <xf numFmtId="0" fontId="26" fillId="0" borderId="8" applyNumberFormat="0" applyFill="0" applyAlignment="0" applyProtection="0"/>
    <xf numFmtId="0" fontId="2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0" fillId="11" borderId="3" applyNumberFormat="0" applyAlignment="0" applyProtection="0"/>
    <xf numFmtId="164" fontId="33" fillId="0" borderId="0" applyFont="0" applyFill="0" applyBorder="0" applyAlignment="0" applyProtection="0"/>
    <xf numFmtId="0" fontId="34" fillId="0" borderId="0"/>
    <xf numFmtId="0" fontId="1" fillId="0" borderId="0"/>
    <xf numFmtId="9" fontId="1" fillId="0" borderId="0" applyFont="0" applyFill="0" applyBorder="0" applyAlignment="0" applyProtection="0"/>
    <xf numFmtId="0" fontId="35" fillId="0" borderId="0"/>
    <xf numFmtId="0" fontId="1" fillId="0" borderId="0"/>
    <xf numFmtId="0" fontId="37" fillId="0" borderId="0"/>
    <xf numFmtId="0" fontId="77" fillId="0" borderId="0"/>
    <xf numFmtId="0" fontId="29" fillId="0" borderId="0"/>
    <xf numFmtId="0" fontId="77" fillId="0" borderId="0"/>
    <xf numFmtId="0" fontId="29" fillId="0" borderId="0"/>
  </cellStyleXfs>
  <cellXfs count="983">
    <xf numFmtId="0" fontId="0" fillId="0" borderId="0" xfId="0"/>
    <xf numFmtId="0" fontId="29" fillId="0" borderId="0" xfId="0" applyFont="1"/>
    <xf numFmtId="3" fontId="2" fillId="17" borderId="9" xfId="29" applyNumberFormat="1" applyFont="1" applyFill="1" applyBorder="1" applyAlignment="1">
      <alignment horizontal="center" vertical="center"/>
    </xf>
    <xf numFmtId="0" fontId="30" fillId="17" borderId="0" xfId="29" applyFont="1" applyFill="1" applyAlignment="1"/>
    <xf numFmtId="0" fontId="3" fillId="17" borderId="0" xfId="29" applyFont="1" applyFill="1"/>
    <xf numFmtId="1" fontId="28" fillId="0" borderId="0" xfId="29" applyNumberFormat="1" applyFont="1" applyFill="1" applyBorder="1" applyAlignment="1">
      <alignment horizontal="center" vertical="center"/>
    </xf>
    <xf numFmtId="0" fontId="2" fillId="17" borderId="0" xfId="29" applyFont="1" applyFill="1"/>
    <xf numFmtId="0" fontId="2" fillId="17" borderId="9" xfId="29" applyFont="1" applyFill="1" applyBorder="1" applyAlignment="1">
      <alignment horizontal="center" vertical="center"/>
    </xf>
    <xf numFmtId="167" fontId="28" fillId="18" borderId="9" xfId="0" applyNumberFormat="1" applyFont="1" applyFill="1" applyBorder="1" applyAlignment="1"/>
    <xf numFmtId="0" fontId="2" fillId="0" borderId="0" xfId="0" applyFont="1"/>
    <xf numFmtId="173" fontId="36" fillId="17" borderId="0" xfId="29" applyNumberFormat="1" applyFont="1" applyFill="1" applyAlignment="1">
      <alignment horizontal="left" vertical="center"/>
    </xf>
    <xf numFmtId="0" fontId="2" fillId="0" borderId="0" xfId="0" applyFont="1" applyFill="1" applyBorder="1"/>
    <xf numFmtId="0" fontId="28" fillId="18" borderId="9" xfId="0" applyFont="1" applyFill="1" applyBorder="1" applyAlignment="1"/>
    <xf numFmtId="0" fontId="37" fillId="17" borderId="0" xfId="47" applyFill="1"/>
    <xf numFmtId="0" fontId="38" fillId="17" borderId="9" xfId="47" applyFont="1" applyFill="1" applyBorder="1"/>
    <xf numFmtId="167" fontId="38" fillId="17" borderId="9" xfId="47" applyNumberFormat="1" applyFont="1" applyFill="1" applyBorder="1" applyAlignment="1">
      <alignment horizontal="left" vertical="center"/>
    </xf>
    <xf numFmtId="0" fontId="38" fillId="17" borderId="0" xfId="47" applyFont="1" applyFill="1"/>
    <xf numFmtId="0" fontId="38" fillId="17" borderId="0" xfId="47" applyFont="1" applyFill="1" applyAlignment="1">
      <alignment horizontal="left"/>
    </xf>
    <xf numFmtId="0" fontId="38" fillId="17" borderId="9" xfId="47" applyFont="1" applyFill="1" applyBorder="1" applyAlignment="1">
      <alignment horizontal="left" vertical="center"/>
    </xf>
    <xf numFmtId="14" fontId="38" fillId="17" borderId="9" xfId="47" applyNumberFormat="1" applyFont="1" applyFill="1" applyBorder="1" applyAlignment="1">
      <alignment horizontal="left" vertical="center"/>
    </xf>
    <xf numFmtId="0" fontId="37" fillId="0" borderId="0" xfId="47"/>
    <xf numFmtId="0" fontId="38" fillId="17" borderId="18" xfId="47" applyFont="1" applyFill="1" applyBorder="1"/>
    <xf numFmtId="0" fontId="38" fillId="17" borderId="0" xfId="47" applyFont="1" applyFill="1" applyBorder="1"/>
    <xf numFmtId="0" fontId="38" fillId="17" borderId="0" xfId="47" applyFont="1" applyFill="1" applyBorder="1" applyAlignment="1">
      <alignment horizontal="left" vertical="center"/>
    </xf>
    <xf numFmtId="0" fontId="29" fillId="17" borderId="0" xfId="0" applyFont="1" applyFill="1" applyBorder="1"/>
    <xf numFmtId="0" fontId="29" fillId="17" borderId="0" xfId="0" applyFont="1" applyFill="1"/>
    <xf numFmtId="0" fontId="29" fillId="17" borderId="0" xfId="0" applyFont="1" applyFill="1" applyAlignment="1">
      <alignment vertical="center"/>
    </xf>
    <xf numFmtId="3" fontId="29" fillId="17" borderId="9" xfId="0" applyNumberFormat="1" applyFont="1" applyFill="1" applyBorder="1" applyAlignment="1">
      <alignment horizontal="center" vertical="center" wrapText="1"/>
    </xf>
    <xf numFmtId="9" fontId="29" fillId="17" borderId="9" xfId="0" applyNumberFormat="1" applyFont="1" applyFill="1" applyBorder="1" applyAlignment="1">
      <alignment horizontal="center" vertical="center" wrapText="1"/>
    </xf>
    <xf numFmtId="3" fontId="41" fillId="17" borderId="9" xfId="0" applyNumberFormat="1" applyFont="1" applyFill="1" applyBorder="1" applyAlignment="1">
      <alignment horizontal="center" vertical="center" wrapText="1"/>
    </xf>
    <xf numFmtId="9" fontId="41" fillId="17" borderId="9" xfId="0" applyNumberFormat="1" applyFont="1" applyFill="1" applyBorder="1" applyAlignment="1">
      <alignment horizontal="center" vertical="center" wrapText="1"/>
    </xf>
    <xf numFmtId="10" fontId="29" fillId="17" borderId="9" xfId="0" applyNumberFormat="1" applyFont="1" applyFill="1" applyBorder="1" applyAlignment="1">
      <alignment horizontal="center" vertical="center" wrapText="1"/>
    </xf>
    <xf numFmtId="165" fontId="29" fillId="17" borderId="9" xfId="0" applyNumberFormat="1" applyFont="1" applyFill="1" applyBorder="1" applyAlignment="1">
      <alignment horizontal="center" vertical="center" wrapText="1"/>
    </xf>
    <xf numFmtId="3" fontId="29" fillId="17" borderId="0" xfId="0" applyNumberFormat="1" applyFont="1" applyFill="1" applyAlignment="1">
      <alignment vertical="center"/>
    </xf>
    <xf numFmtId="10" fontId="29" fillId="17" borderId="0" xfId="0" applyNumberFormat="1" applyFont="1" applyFill="1" applyAlignment="1">
      <alignment vertical="center"/>
    </xf>
    <xf numFmtId="0" fontId="41" fillId="17" borderId="0" xfId="0" applyFont="1" applyFill="1"/>
    <xf numFmtId="3" fontId="29" fillId="17" borderId="0" xfId="0" applyNumberFormat="1" applyFont="1" applyFill="1"/>
    <xf numFmtId="0" fontId="41" fillId="17" borderId="9" xfId="0" applyFont="1" applyFill="1" applyBorder="1" applyAlignment="1">
      <alignment horizontal="center" vertical="center" wrapText="1"/>
    </xf>
    <xf numFmtId="0" fontId="41" fillId="15" borderId="9" xfId="0" applyFont="1" applyFill="1" applyBorder="1" applyAlignment="1">
      <alignment horizontal="center" vertical="center" wrapText="1"/>
    </xf>
    <xf numFmtId="0" fontId="29" fillId="17" borderId="9" xfId="0" applyFont="1" applyFill="1" applyBorder="1" applyAlignment="1">
      <alignment vertical="center"/>
    </xf>
    <xf numFmtId="0" fontId="45" fillId="24" borderId="9" xfId="0" applyFont="1" applyFill="1" applyBorder="1" applyAlignment="1">
      <alignment horizontal="center" vertical="center" wrapText="1"/>
    </xf>
    <xf numFmtId="3" fontId="45" fillId="24" borderId="9" xfId="0" applyNumberFormat="1" applyFont="1" applyFill="1" applyBorder="1" applyAlignment="1">
      <alignment horizontal="center" vertical="center" wrapText="1"/>
    </xf>
    <xf numFmtId="0" fontId="45" fillId="24" borderId="0" xfId="47" applyFont="1" applyFill="1" applyAlignment="1">
      <alignment vertical="center"/>
    </xf>
    <xf numFmtId="0" fontId="46" fillId="24" borderId="0" xfId="47" applyFont="1" applyFill="1"/>
    <xf numFmtId="0" fontId="47" fillId="24" borderId="0" xfId="47" applyFont="1" applyFill="1"/>
    <xf numFmtId="3" fontId="29" fillId="17" borderId="9" xfId="0" applyNumberFormat="1" applyFont="1" applyFill="1" applyBorder="1" applyAlignment="1">
      <alignment horizontal="left" vertical="center"/>
    </xf>
    <xf numFmtId="0" fontId="44" fillId="0" borderId="0" xfId="0" applyFont="1" applyFill="1"/>
    <xf numFmtId="0" fontId="29" fillId="0" borderId="0" xfId="0" applyFont="1" applyFill="1"/>
    <xf numFmtId="165" fontId="29" fillId="0" borderId="0" xfId="0" applyNumberFormat="1" applyFont="1"/>
    <xf numFmtId="0" fontId="44" fillId="0" borderId="0" xfId="0" applyFont="1"/>
    <xf numFmtId="10" fontId="41" fillId="0" borderId="9" xfId="30" applyNumberFormat="1" applyFont="1" applyBorder="1" applyAlignment="1">
      <alignment horizontal="center" vertical="center"/>
    </xf>
    <xf numFmtId="9" fontId="46" fillId="24" borderId="9" xfId="0" applyNumberFormat="1" applyFont="1" applyFill="1" applyBorder="1" applyAlignment="1">
      <alignment horizontal="center" vertical="center"/>
    </xf>
    <xf numFmtId="3" fontId="41" fillId="0" borderId="9" xfId="0" applyNumberFormat="1" applyFont="1" applyFill="1" applyBorder="1" applyAlignment="1">
      <alignment horizontal="center" vertical="center" wrapText="1"/>
    </xf>
    <xf numFmtId="0" fontId="29" fillId="0" borderId="9" xfId="0" applyFont="1" applyBorder="1" applyAlignment="1">
      <alignment horizontal="left" vertical="center" wrapText="1"/>
    </xf>
    <xf numFmtId="9" fontId="29" fillId="17" borderId="9" xfId="30" applyNumberFormat="1" applyFont="1" applyFill="1" applyBorder="1" applyAlignment="1">
      <alignment horizontal="center" vertical="center"/>
    </xf>
    <xf numFmtId="0" fontId="41" fillId="17" borderId="9" xfId="0" applyFont="1" applyFill="1" applyBorder="1" applyAlignment="1">
      <alignment horizontal="right" vertical="center" wrapText="1"/>
    </xf>
    <xf numFmtId="0" fontId="48" fillId="17" borderId="9" xfId="0" applyFont="1" applyFill="1" applyBorder="1" applyAlignment="1">
      <alignment horizontal="left" vertical="center" wrapText="1"/>
    </xf>
    <xf numFmtId="3" fontId="48" fillId="17" borderId="9" xfId="0" applyNumberFormat="1" applyFont="1" applyFill="1" applyBorder="1" applyAlignment="1">
      <alignment horizontal="center" vertical="center" wrapText="1"/>
    </xf>
    <xf numFmtId="10" fontId="48" fillId="0" borderId="9" xfId="30" applyNumberFormat="1" applyFont="1" applyBorder="1" applyAlignment="1">
      <alignment horizontal="center" vertical="center"/>
    </xf>
    <xf numFmtId="0" fontId="48" fillId="17" borderId="9" xfId="0" applyFont="1" applyFill="1" applyBorder="1" applyAlignment="1">
      <alignment horizontal="left" vertical="center"/>
    </xf>
    <xf numFmtId="0" fontId="41" fillId="17" borderId="9" xfId="0" applyFont="1" applyFill="1" applyBorder="1" applyAlignment="1">
      <alignment horizontal="left" vertical="center" wrapText="1"/>
    </xf>
    <xf numFmtId="0" fontId="29" fillId="0" borderId="9" xfId="0" applyFont="1" applyBorder="1" applyAlignment="1">
      <alignment vertical="center"/>
    </xf>
    <xf numFmtId="0" fontId="2" fillId="0" borderId="0" xfId="0" applyFont="1" applyFill="1"/>
    <xf numFmtId="0" fontId="28" fillId="0" borderId="0" xfId="0" applyFont="1" applyFill="1" applyBorder="1"/>
    <xf numFmtId="0" fontId="2" fillId="0" borderId="0" xfId="0" applyFont="1" applyFill="1" applyAlignment="1">
      <alignment horizontal="left" indent="1"/>
    </xf>
    <xf numFmtId="0" fontId="2" fillId="0" borderId="0" xfId="0" applyFont="1" applyAlignment="1">
      <alignment horizontal="left" indent="1"/>
    </xf>
    <xf numFmtId="0" fontId="2" fillId="0" borderId="40" xfId="0" applyFont="1" applyFill="1" applyBorder="1" applyAlignment="1">
      <alignment horizontal="left" vertical="center" indent="1"/>
    </xf>
    <xf numFmtId="0" fontId="2" fillId="0" borderId="0" xfId="0" applyFont="1" applyFill="1" applyBorder="1" applyAlignment="1">
      <alignment vertical="center"/>
    </xf>
    <xf numFmtId="3" fontId="2" fillId="0" borderId="0" xfId="0" applyNumberFormat="1" applyFont="1" applyFill="1"/>
    <xf numFmtId="3" fontId="2" fillId="0" borderId="9" xfId="0" applyNumberFormat="1" applyFont="1" applyFill="1" applyBorder="1" applyAlignment="1">
      <alignment horizontal="center" vertical="center"/>
    </xf>
    <xf numFmtId="0" fontId="52" fillId="26" borderId="0" xfId="0" applyFont="1" applyFill="1" applyAlignment="1">
      <alignment vertical="center"/>
    </xf>
    <xf numFmtId="3" fontId="2" fillId="12" borderId="0" xfId="0" applyNumberFormat="1" applyFont="1" applyFill="1"/>
    <xf numFmtId="4" fontId="2" fillId="12" borderId="0" xfId="0" applyNumberFormat="1" applyFont="1" applyFill="1"/>
    <xf numFmtId="0" fontId="2" fillId="12" borderId="0" xfId="0" applyFont="1" applyFill="1"/>
    <xf numFmtId="3" fontId="2" fillId="0" borderId="0" xfId="0" applyNumberFormat="1" applyFont="1"/>
    <xf numFmtId="4" fontId="2" fillId="0" borderId="0" xfId="0" applyNumberFormat="1" applyFont="1"/>
    <xf numFmtId="0" fontId="2" fillId="0" borderId="0" xfId="29" applyFont="1" applyFill="1"/>
    <xf numFmtId="0" fontId="2" fillId="0" borderId="0" xfId="29" applyFont="1"/>
    <xf numFmtId="1" fontId="28" fillId="14" borderId="9" xfId="29" applyNumberFormat="1" applyFont="1" applyFill="1" applyBorder="1" applyAlignment="1">
      <alignment horizontal="center" vertical="center" wrapText="1"/>
    </xf>
    <xf numFmtId="3" fontId="59" fillId="0" borderId="0" xfId="29" applyNumberFormat="1" applyFont="1" applyBorder="1" applyAlignment="1">
      <alignment horizontal="center" vertical="center" wrapText="1"/>
    </xf>
    <xf numFmtId="3" fontId="28" fillId="15" borderId="9" xfId="29" applyNumberFormat="1" applyFont="1" applyFill="1" applyBorder="1" applyAlignment="1">
      <alignment horizontal="center" vertical="center"/>
    </xf>
    <xf numFmtId="0" fontId="60" fillId="0" borderId="18" xfId="29" applyFont="1" applyFill="1" applyBorder="1"/>
    <xf numFmtId="0" fontId="2" fillId="0" borderId="33" xfId="29" applyFont="1" applyBorder="1"/>
    <xf numFmtId="0" fontId="2" fillId="0" borderId="19" xfId="29" applyFont="1" applyBorder="1"/>
    <xf numFmtId="0" fontId="36" fillId="0" borderId="0" xfId="29" applyFont="1"/>
    <xf numFmtId="0" fontId="36" fillId="0" borderId="0" xfId="29" applyFont="1" applyAlignment="1">
      <alignment horizontal="center" vertical="center"/>
    </xf>
    <xf numFmtId="1" fontId="28" fillId="17" borderId="0" xfId="29" applyNumberFormat="1" applyFont="1" applyFill="1" applyBorder="1" applyAlignment="1">
      <alignment horizontal="center" vertical="center"/>
    </xf>
    <xf numFmtId="3" fontId="2" fillId="17" borderId="0" xfId="29" applyNumberFormat="1" applyFont="1" applyFill="1"/>
    <xf numFmtId="0" fontId="2" fillId="17" borderId="0" xfId="29" applyFont="1" applyFill="1" applyBorder="1" applyAlignment="1">
      <alignment horizontal="center" vertical="center"/>
    </xf>
    <xf numFmtId="168" fontId="2" fillId="17" borderId="0" xfId="29" applyNumberFormat="1" applyFont="1" applyFill="1"/>
    <xf numFmtId="0" fontId="2" fillId="17" borderId="0" xfId="29" applyFont="1" applyFill="1" applyBorder="1"/>
    <xf numFmtId="0" fontId="2" fillId="15" borderId="0" xfId="29" applyFont="1" applyFill="1"/>
    <xf numFmtId="1" fontId="2" fillId="15" borderId="0" xfId="29" applyNumberFormat="1" applyFont="1" applyFill="1"/>
    <xf numFmtId="1" fontId="28" fillId="17" borderId="0" xfId="29" applyNumberFormat="1" applyFont="1" applyFill="1" applyBorder="1" applyAlignment="1">
      <alignment vertical="center" wrapText="1"/>
    </xf>
    <xf numFmtId="0" fontId="18" fillId="17" borderId="0" xfId="26" applyFont="1" applyFill="1" applyAlignment="1" applyProtection="1"/>
    <xf numFmtId="170" fontId="2" fillId="17" borderId="9" xfId="29" applyNumberFormat="1" applyFont="1" applyFill="1" applyBorder="1" applyAlignment="1">
      <alignment horizontal="center" vertical="center"/>
    </xf>
    <xf numFmtId="167" fontId="2" fillId="17" borderId="9" xfId="29" applyNumberFormat="1" applyFont="1" applyFill="1" applyBorder="1" applyAlignment="1">
      <alignment horizontal="center" vertical="center"/>
    </xf>
    <xf numFmtId="0" fontId="30" fillId="0" borderId="0" xfId="29" applyFont="1" applyFill="1" applyBorder="1" applyAlignment="1">
      <alignment horizontal="left"/>
    </xf>
    <xf numFmtId="0" fontId="2" fillId="17" borderId="9" xfId="30" applyNumberFormat="1" applyFont="1" applyFill="1" applyBorder="1" applyAlignment="1">
      <alignment horizontal="center" vertical="center"/>
    </xf>
    <xf numFmtId="9" fontId="2" fillId="0" borderId="9" xfId="30" applyFont="1" applyFill="1" applyBorder="1" applyAlignment="1">
      <alignment horizontal="center" vertical="center"/>
    </xf>
    <xf numFmtId="1" fontId="2" fillId="0" borderId="9" xfId="29" applyNumberFormat="1" applyFont="1" applyFill="1" applyBorder="1" applyAlignment="1">
      <alignment horizontal="center" vertical="center"/>
    </xf>
    <xf numFmtId="2" fontId="2" fillId="0" borderId="9" xfId="29" applyNumberFormat="1" applyFont="1" applyFill="1" applyBorder="1" applyAlignment="1">
      <alignment horizontal="center" vertical="center"/>
    </xf>
    <xf numFmtId="9" fontId="2" fillId="17" borderId="9" xfId="30" applyFont="1" applyFill="1" applyBorder="1" applyAlignment="1">
      <alignment horizontal="center" vertical="center"/>
    </xf>
    <xf numFmtId="1" fontId="2" fillId="17" borderId="9" xfId="29" applyNumberFormat="1" applyFont="1" applyFill="1" applyBorder="1" applyAlignment="1">
      <alignment horizontal="center" vertical="center"/>
    </xf>
    <xf numFmtId="2" fontId="2" fillId="17" borderId="9" xfId="29" applyNumberFormat="1" applyFont="1" applyFill="1" applyBorder="1" applyAlignment="1">
      <alignment horizontal="center" vertical="center"/>
    </xf>
    <xf numFmtId="169" fontId="2" fillId="17" borderId="0" xfId="30" applyNumberFormat="1" applyFont="1" applyFill="1" applyBorder="1" applyAlignment="1">
      <alignment horizontal="center" vertical="center"/>
    </xf>
    <xf numFmtId="3" fontId="2" fillId="17" borderId="0" xfId="29" applyNumberFormat="1" applyFont="1" applyFill="1" applyBorder="1" applyAlignment="1">
      <alignment horizontal="center" vertical="center"/>
    </xf>
    <xf numFmtId="9" fontId="2" fillId="17" borderId="0" xfId="30" applyFont="1" applyFill="1" applyBorder="1" applyAlignment="1">
      <alignment horizontal="center" vertical="center"/>
    </xf>
    <xf numFmtId="0" fontId="63" fillId="17" borderId="0" xfId="26" applyFont="1" applyFill="1" applyAlignment="1" applyProtection="1"/>
    <xf numFmtId="0" fontId="55" fillId="17" borderId="0" xfId="29" applyFont="1" applyFill="1"/>
    <xf numFmtId="0" fontId="57" fillId="17" borderId="17" xfId="29" applyFont="1" applyFill="1" applyBorder="1" applyAlignment="1">
      <alignment readingOrder="1"/>
    </xf>
    <xf numFmtId="0" fontId="55" fillId="17" borderId="17" xfId="29" applyFont="1" applyFill="1" applyBorder="1"/>
    <xf numFmtId="0" fontId="55" fillId="17" borderId="0" xfId="29" applyFont="1" applyFill="1" applyAlignment="1">
      <alignment horizontal="center" vertical="center"/>
    </xf>
    <xf numFmtId="0" fontId="55" fillId="0" borderId="0" xfId="29" applyFont="1" applyFill="1"/>
    <xf numFmtId="0" fontId="55" fillId="0" borderId="0" xfId="29" applyFont="1" applyFill="1" applyAlignment="1">
      <alignment horizontal="center" vertical="center"/>
    </xf>
    <xf numFmtId="0" fontId="28" fillId="17" borderId="0" xfId="0" applyFont="1" applyFill="1" applyBorder="1" applyAlignment="1">
      <alignment horizontal="center" vertical="center"/>
    </xf>
    <xf numFmtId="0" fontId="45" fillId="17" borderId="0" xfId="0" applyFont="1" applyFill="1" applyBorder="1" applyAlignment="1">
      <alignment vertical="center"/>
    </xf>
    <xf numFmtId="3" fontId="2" fillId="17" borderId="0" xfId="0" applyNumberFormat="1" applyFont="1" applyFill="1" applyBorder="1" applyAlignment="1">
      <alignment horizontal="center" vertical="center"/>
    </xf>
    <xf numFmtId="0" fontId="45" fillId="17" borderId="0" xfId="0" applyFont="1" applyFill="1" applyBorder="1" applyAlignment="1">
      <alignment horizontal="center" vertical="center"/>
    </xf>
    <xf numFmtId="165" fontId="28" fillId="17" borderId="0" xfId="0" applyNumberFormat="1" applyFont="1" applyFill="1" applyBorder="1" applyAlignment="1">
      <alignment horizontal="center" vertical="center"/>
    </xf>
    <xf numFmtId="3" fontId="2" fillId="17" borderId="9" xfId="0" applyNumberFormat="1" applyFont="1" applyFill="1" applyBorder="1" applyAlignment="1">
      <alignment horizontal="center" vertical="center"/>
    </xf>
    <xf numFmtId="0" fontId="28" fillId="0" borderId="9" xfId="0" applyFont="1" applyFill="1" applyBorder="1" applyAlignment="1">
      <alignment horizontal="center" vertical="center"/>
    </xf>
    <xf numFmtId="3" fontId="2" fillId="0" borderId="9" xfId="0" applyNumberFormat="1" applyFont="1" applyFill="1" applyBorder="1" applyAlignment="1">
      <alignment horizontal="right" vertical="center"/>
    </xf>
    <xf numFmtId="3" fontId="2" fillId="0" borderId="0" xfId="0" applyNumberFormat="1" applyFont="1" applyFill="1" applyBorder="1" applyAlignment="1">
      <alignment horizontal="right" vertical="center"/>
    </xf>
    <xf numFmtId="0" fontId="18" fillId="0" borderId="0" xfId="26" applyFont="1" applyFill="1" applyBorder="1" applyAlignment="1" applyProtection="1"/>
    <xf numFmtId="0" fontId="2" fillId="0" borderId="0" xfId="0" applyFont="1" applyFill="1" applyBorder="1" applyAlignment="1">
      <alignment horizontal="left" vertical="center"/>
    </xf>
    <xf numFmtId="3" fontId="2" fillId="0" borderId="0" xfId="0" applyNumberFormat="1" applyFont="1" applyFill="1" applyBorder="1" applyAlignment="1">
      <alignment horizontal="center" vertical="center"/>
    </xf>
    <xf numFmtId="0" fontId="28" fillId="0" borderId="9" xfId="0" applyFont="1" applyFill="1" applyBorder="1" applyAlignment="1">
      <alignment horizontal="center" vertical="center" wrapText="1"/>
    </xf>
    <xf numFmtId="0" fontId="28" fillId="0" borderId="37" xfId="0" applyFont="1" applyFill="1" applyBorder="1" applyAlignment="1">
      <alignment horizontal="center" vertical="center"/>
    </xf>
    <xf numFmtId="0" fontId="2" fillId="0" borderId="0" xfId="0" applyFont="1" applyBorder="1"/>
    <xf numFmtId="3" fontId="28" fillId="0" borderId="0" xfId="0" applyNumberFormat="1" applyFont="1" applyFill="1" applyBorder="1" applyAlignment="1">
      <alignment horizontal="right" vertical="center"/>
    </xf>
    <xf numFmtId="3" fontId="28" fillId="0" borderId="9" xfId="0" applyNumberFormat="1" applyFont="1" applyFill="1" applyBorder="1" applyAlignment="1">
      <alignment horizontal="right" vertical="center"/>
    </xf>
    <xf numFmtId="3" fontId="2" fillId="0" borderId="37" xfId="0" applyNumberFormat="1" applyFont="1" applyFill="1" applyBorder="1" applyAlignment="1">
      <alignment horizontal="right" vertical="center"/>
    </xf>
    <xf numFmtId="3" fontId="28" fillId="0" borderId="37" xfId="0" applyNumberFormat="1" applyFont="1" applyFill="1" applyBorder="1" applyAlignment="1">
      <alignment horizontal="right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 indent="1"/>
    </xf>
    <xf numFmtId="0" fontId="2" fillId="0" borderId="0" xfId="0" applyFont="1" applyFill="1" applyBorder="1" applyAlignment="1">
      <alignment horizontal="left" indent="1"/>
    </xf>
    <xf numFmtId="0" fontId="28" fillId="27" borderId="0" xfId="0" applyFont="1" applyFill="1" applyAlignment="1">
      <alignment vertical="center"/>
    </xf>
    <xf numFmtId="0" fontId="28" fillId="27" borderId="0" xfId="0" applyFont="1" applyFill="1" applyAlignment="1">
      <alignment horizontal="center" vertical="center"/>
    </xf>
    <xf numFmtId="0" fontId="2" fillId="17" borderId="0" xfId="0" applyFont="1" applyFill="1" applyBorder="1" applyAlignment="1">
      <alignment vertical="center"/>
    </xf>
    <xf numFmtId="0" fontId="2" fillId="0" borderId="9" xfId="0" applyFont="1" applyFill="1" applyBorder="1"/>
    <xf numFmtId="0" fontId="2" fillId="12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18" fillId="0" borderId="0" xfId="26" applyFont="1" applyFill="1" applyAlignment="1" applyProtection="1"/>
    <xf numFmtId="0" fontId="28" fillId="0" borderId="44" xfId="0" applyFont="1" applyFill="1" applyBorder="1" applyAlignment="1">
      <alignment horizontal="left" vertical="center" indent="1"/>
    </xf>
    <xf numFmtId="0" fontId="28" fillId="0" borderId="48" xfId="0" applyFont="1" applyFill="1" applyBorder="1" applyAlignment="1">
      <alignment horizontal="center" vertical="center" wrapText="1"/>
    </xf>
    <xf numFmtId="0" fontId="28" fillId="0" borderId="46" xfId="0" applyFont="1" applyFill="1" applyBorder="1" applyAlignment="1">
      <alignment horizontal="center" vertical="center" wrapText="1"/>
    </xf>
    <xf numFmtId="0" fontId="2" fillId="0" borderId="38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left" vertical="center" indent="1"/>
    </xf>
    <xf numFmtId="0" fontId="2" fillId="0" borderId="19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47" xfId="0" applyFont="1" applyFill="1" applyBorder="1" applyAlignment="1">
      <alignment horizontal="center" vertical="center"/>
    </xf>
    <xf numFmtId="0" fontId="2" fillId="0" borderId="39" xfId="0" applyFont="1" applyFill="1" applyBorder="1" applyAlignment="1">
      <alignment horizontal="center" vertical="center"/>
    </xf>
    <xf numFmtId="3" fontId="2" fillId="0" borderId="0" xfId="0" applyNumberFormat="1" applyFont="1" applyFill="1" applyBorder="1" applyAlignment="1">
      <alignment vertical="center"/>
    </xf>
    <xf numFmtId="0" fontId="28" fillId="0" borderId="41" xfId="0" applyFont="1" applyFill="1" applyBorder="1" applyAlignment="1">
      <alignment horizontal="left" vertical="center" indent="1"/>
    </xf>
    <xf numFmtId="0" fontId="28" fillId="0" borderId="35" xfId="0" applyFont="1" applyFill="1" applyBorder="1" applyAlignment="1">
      <alignment horizontal="center" vertical="center"/>
    </xf>
    <xf numFmtId="0" fontId="28" fillId="0" borderId="34" xfId="0" applyFont="1" applyFill="1" applyBorder="1" applyAlignment="1">
      <alignment horizontal="center" vertical="center" wrapText="1"/>
    </xf>
    <xf numFmtId="0" fontId="2" fillId="0" borderId="31" xfId="0" applyFont="1" applyFill="1" applyBorder="1" applyAlignment="1">
      <alignment horizontal="center" vertical="center"/>
    </xf>
    <xf numFmtId="0" fontId="2" fillId="0" borderId="36" xfId="0" applyFont="1" applyFill="1" applyBorder="1" applyAlignment="1">
      <alignment horizontal="center" vertical="center"/>
    </xf>
    <xf numFmtId="0" fontId="2" fillId="0" borderId="28" xfId="0" applyFont="1" applyFill="1" applyBorder="1" applyAlignment="1">
      <alignment horizontal="center" vertical="center"/>
    </xf>
    <xf numFmtId="0" fontId="2" fillId="0" borderId="41" xfId="0" applyFont="1" applyFill="1" applyBorder="1" applyAlignment="1">
      <alignment horizontal="left" vertical="center" indent="1"/>
    </xf>
    <xf numFmtId="0" fontId="2" fillId="0" borderId="35" xfId="0" applyFont="1" applyFill="1" applyBorder="1" applyAlignment="1">
      <alignment horizontal="center" vertical="center"/>
    </xf>
    <xf numFmtId="0" fontId="2" fillId="0" borderId="34" xfId="0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left" vertical="center" indent="1"/>
    </xf>
    <xf numFmtId="0" fontId="2" fillId="0" borderId="23" xfId="0" applyFont="1" applyFill="1" applyBorder="1" applyAlignment="1">
      <alignment horizontal="center" vertical="center"/>
    </xf>
    <xf numFmtId="0" fontId="2" fillId="0" borderId="27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0" fontId="2" fillId="0" borderId="45" xfId="0" applyFont="1" applyFill="1" applyBorder="1" applyAlignment="1">
      <alignment horizontal="left" vertical="center" indent="1"/>
    </xf>
    <xf numFmtId="0" fontId="2" fillId="0" borderId="42" xfId="0" applyFont="1" applyFill="1" applyBorder="1" applyAlignment="1">
      <alignment horizontal="center" vertical="center"/>
    </xf>
    <xf numFmtId="0" fontId="2" fillId="0" borderId="43" xfId="0" applyFont="1" applyFill="1" applyBorder="1" applyAlignment="1">
      <alignment horizontal="center" vertical="center"/>
    </xf>
    <xf numFmtId="0" fontId="2" fillId="0" borderId="32" xfId="0" applyFont="1" applyFill="1" applyBorder="1" applyAlignment="1">
      <alignment horizontal="center" vertical="center"/>
    </xf>
    <xf numFmtId="0" fontId="2" fillId="0" borderId="20" xfId="0" applyFont="1" applyFill="1" applyBorder="1" applyAlignment="1">
      <alignment horizontal="left" vertical="center" indent="1"/>
    </xf>
    <xf numFmtId="0" fontId="2" fillId="0" borderId="21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166" fontId="2" fillId="0" borderId="0" xfId="0" applyNumberFormat="1" applyFont="1" applyFill="1" applyBorder="1"/>
    <xf numFmtId="2" fontId="2" fillId="0" borderId="0" xfId="0" applyNumberFormat="1" applyFont="1" applyFill="1" applyBorder="1"/>
    <xf numFmtId="170" fontId="2" fillId="0" borderId="0" xfId="0" applyNumberFormat="1" applyFont="1" applyFill="1" applyBorder="1"/>
    <xf numFmtId="0" fontId="2" fillId="0" borderId="0" xfId="0" applyFont="1" applyFill="1" applyBorder="1" applyAlignment="1">
      <alignment horizontal="left"/>
    </xf>
    <xf numFmtId="0" fontId="2" fillId="0" borderId="0" xfId="0" applyFont="1" applyFill="1" applyBorder="1" applyAlignment="1">
      <alignment horizontal="left" wrapText="1"/>
    </xf>
    <xf numFmtId="0" fontId="3" fillId="0" borderId="0" xfId="0" applyFont="1" applyFill="1" applyAlignment="1">
      <alignment horizontal="center"/>
    </xf>
    <xf numFmtId="0" fontId="3" fillId="0" borderId="0" xfId="0" applyFont="1" applyFill="1"/>
    <xf numFmtId="0" fontId="28" fillId="18" borderId="9" xfId="0" applyFont="1" applyFill="1" applyBorder="1"/>
    <xf numFmtId="0" fontId="28" fillId="18" borderId="9" xfId="0" applyFont="1" applyFill="1" applyBorder="1" applyAlignment="1">
      <alignment horizontal="center"/>
    </xf>
    <xf numFmtId="1" fontId="2" fillId="0" borderId="9" xfId="0" applyNumberFormat="1" applyFont="1" applyFill="1" applyBorder="1"/>
    <xf numFmtId="0" fontId="2" fillId="0" borderId="9" xfId="0" applyFont="1" applyFill="1" applyBorder="1" applyAlignment="1">
      <alignment horizontal="left"/>
    </xf>
    <xf numFmtId="0" fontId="41" fillId="0" borderId="0" xfId="0" applyFont="1"/>
    <xf numFmtId="0" fontId="74" fillId="0" borderId="0" xfId="0" applyFont="1"/>
    <xf numFmtId="0" fontId="18" fillId="0" borderId="0" xfId="27" applyFont="1" applyAlignment="1" applyProtection="1">
      <alignment vertical="center"/>
    </xf>
    <xf numFmtId="0" fontId="49" fillId="29" borderId="0" xfId="0" applyFont="1" applyFill="1" applyAlignment="1">
      <alignment vertical="center"/>
    </xf>
    <xf numFmtId="0" fontId="49" fillId="29" borderId="0" xfId="0" applyFont="1" applyFill="1" applyAlignment="1">
      <alignment horizontal="left" vertical="center"/>
    </xf>
    <xf numFmtId="0" fontId="75" fillId="29" borderId="0" xfId="0" applyFont="1" applyFill="1" applyAlignment="1">
      <alignment vertical="center"/>
    </xf>
    <xf numFmtId="0" fontId="75" fillId="27" borderId="0" xfId="0" applyFont="1" applyFill="1" applyAlignment="1">
      <alignment vertical="center"/>
    </xf>
    <xf numFmtId="0" fontId="75" fillId="30" borderId="0" xfId="0" applyFont="1" applyFill="1" applyAlignment="1">
      <alignment vertical="center"/>
    </xf>
    <xf numFmtId="0" fontId="52" fillId="26" borderId="0" xfId="0" applyFont="1" applyFill="1" applyAlignment="1">
      <alignment horizontal="left" vertical="center"/>
    </xf>
    <xf numFmtId="0" fontId="52" fillId="24" borderId="0" xfId="29" applyFont="1" applyFill="1" applyAlignment="1">
      <alignment vertical="center"/>
    </xf>
    <xf numFmtId="0" fontId="75" fillId="15" borderId="0" xfId="29" applyFont="1" applyFill="1" applyBorder="1" applyAlignment="1">
      <alignment vertical="center"/>
    </xf>
    <xf numFmtId="0" fontId="75" fillId="15" borderId="0" xfId="29" applyFont="1" applyFill="1" applyAlignment="1">
      <alignment vertical="center"/>
    </xf>
    <xf numFmtId="0" fontId="76" fillId="25" borderId="0" xfId="47" applyFont="1" applyFill="1" applyAlignment="1">
      <alignment vertical="center"/>
    </xf>
    <xf numFmtId="0" fontId="52" fillId="25" borderId="0" xfId="47" applyFont="1" applyFill="1"/>
    <xf numFmtId="3" fontId="75" fillId="28" borderId="0" xfId="0" applyNumberFormat="1" applyFont="1" applyFill="1" applyBorder="1"/>
    <xf numFmtId="3" fontId="75" fillId="28" borderId="0" xfId="0" applyNumberFormat="1" applyFont="1" applyFill="1"/>
    <xf numFmtId="4" fontId="75" fillId="28" borderId="0" xfId="0" applyNumberFormat="1" applyFont="1" applyFill="1"/>
    <xf numFmtId="0" fontId="75" fillId="28" borderId="0" xfId="0" applyFont="1" applyFill="1"/>
    <xf numFmtId="0" fontId="52" fillId="24" borderId="0" xfId="47" applyFont="1" applyFill="1" applyAlignment="1">
      <alignment vertical="center"/>
    </xf>
    <xf numFmtId="0" fontId="52" fillId="35" borderId="0" xfId="0" applyFont="1" applyFill="1" applyBorder="1" applyAlignment="1">
      <alignment vertical="center"/>
    </xf>
    <xf numFmtId="0" fontId="52" fillId="34" borderId="0" xfId="0" applyFont="1" applyFill="1" applyAlignment="1">
      <alignment vertical="center"/>
    </xf>
    <xf numFmtId="0" fontId="18" fillId="0" borderId="0" xfId="26" applyBorder="1" applyAlignment="1" applyProtection="1"/>
    <xf numFmtId="0" fontId="59" fillId="0" borderId="37" xfId="0" applyFont="1" applyFill="1" applyBorder="1" applyAlignment="1">
      <alignment horizontal="left" vertical="center" wrapText="1"/>
    </xf>
    <xf numFmtId="0" fontId="59" fillId="0" borderId="24" xfId="0" applyFont="1" applyFill="1" applyBorder="1" applyAlignment="1">
      <alignment horizontal="left" vertical="center" wrapText="1"/>
    </xf>
    <xf numFmtId="0" fontId="29" fillId="0" borderId="9" xfId="0" applyFont="1" applyBorder="1" applyAlignment="1">
      <alignment vertical="center"/>
    </xf>
    <xf numFmtId="1" fontId="28" fillId="14" borderId="9" xfId="29" applyNumberFormat="1" applyFont="1" applyFill="1" applyBorder="1" applyAlignment="1">
      <alignment horizontal="center" vertical="center" wrapText="1"/>
    </xf>
    <xf numFmtId="0" fontId="29" fillId="17" borderId="0" xfId="48" applyFont="1" applyFill="1" applyAlignment="1">
      <alignment vertical="center"/>
    </xf>
    <xf numFmtId="0" fontId="38" fillId="17" borderId="0" xfId="48" applyFont="1" applyFill="1" applyAlignment="1">
      <alignment vertical="center"/>
    </xf>
    <xf numFmtId="0" fontId="77" fillId="17" borderId="0" xfId="48" applyFill="1" applyAlignment="1">
      <alignment vertical="center"/>
    </xf>
    <xf numFmtId="0" fontId="77" fillId="17" borderId="0" xfId="48" applyFill="1"/>
    <xf numFmtId="0" fontId="29" fillId="17" borderId="9" xfId="48" applyFont="1" applyFill="1" applyBorder="1" applyAlignment="1">
      <alignment horizontal="center" vertical="center"/>
    </xf>
    <xf numFmtId="0" fontId="29" fillId="17" borderId="9" xfId="48" applyFont="1" applyFill="1" applyBorder="1" applyAlignment="1">
      <alignment vertical="center"/>
    </xf>
    <xf numFmtId="0" fontId="41" fillId="17" borderId="0" xfId="48" applyFont="1" applyFill="1" applyAlignment="1">
      <alignment vertical="center"/>
    </xf>
    <xf numFmtId="0" fontId="41" fillId="17" borderId="0" xfId="50" applyFont="1" applyFill="1" applyAlignment="1">
      <alignment vertical="center"/>
    </xf>
    <xf numFmtId="0" fontId="54" fillId="17" borderId="9" xfId="50" applyFont="1" applyFill="1" applyBorder="1" applyAlignment="1">
      <alignment horizontal="center" vertical="center"/>
    </xf>
    <xf numFmtId="0" fontId="29" fillId="17" borderId="9" xfId="50" applyFont="1" applyFill="1" applyBorder="1" applyAlignment="1">
      <alignment horizontal="center" vertical="center" wrapText="1"/>
    </xf>
    <xf numFmtId="0" fontId="29" fillId="17" borderId="9" xfId="50" applyFont="1" applyFill="1" applyBorder="1" applyAlignment="1">
      <alignment horizontal="center" vertical="center"/>
    </xf>
    <xf numFmtId="0" fontId="29" fillId="17" borderId="9" xfId="50" applyFont="1" applyFill="1" applyBorder="1" applyAlignment="1">
      <alignment horizontal="left" vertical="center"/>
    </xf>
    <xf numFmtId="1" fontId="29" fillId="17" borderId="9" xfId="50" applyNumberFormat="1" applyFont="1" applyFill="1" applyBorder="1" applyAlignment="1">
      <alignment horizontal="center" vertical="center"/>
    </xf>
    <xf numFmtId="0" fontId="29" fillId="17" borderId="0" xfId="48" applyFont="1" applyFill="1"/>
    <xf numFmtId="0" fontId="77" fillId="0" borderId="0" xfId="48"/>
    <xf numFmtId="3" fontId="2" fillId="0" borderId="35" xfId="0" applyNumberFormat="1" applyFont="1" applyFill="1" applyBorder="1" applyAlignment="1">
      <alignment horizontal="center" vertical="center"/>
    </xf>
    <xf numFmtId="3" fontId="2" fillId="0" borderId="34" xfId="0" applyNumberFormat="1" applyFont="1" applyFill="1" applyBorder="1" applyAlignment="1">
      <alignment horizontal="center" vertical="center"/>
    </xf>
    <xf numFmtId="3" fontId="2" fillId="0" borderId="23" xfId="0" applyNumberFormat="1" applyFont="1" applyFill="1" applyBorder="1" applyAlignment="1">
      <alignment horizontal="center" vertical="center"/>
    </xf>
    <xf numFmtId="3" fontId="28" fillId="0" borderId="35" xfId="0" applyNumberFormat="1" applyFont="1" applyFill="1" applyBorder="1" applyAlignment="1">
      <alignment horizontal="center" vertical="center"/>
    </xf>
    <xf numFmtId="3" fontId="59" fillId="0" borderId="35" xfId="0" applyNumberFormat="1" applyFont="1" applyFill="1" applyBorder="1" applyAlignment="1">
      <alignment horizontal="center" vertical="center" wrapText="1"/>
    </xf>
    <xf numFmtId="3" fontId="59" fillId="0" borderId="34" xfId="0" applyNumberFormat="1" applyFont="1" applyFill="1" applyBorder="1" applyAlignment="1">
      <alignment horizontal="center" vertical="center" wrapText="1"/>
    </xf>
    <xf numFmtId="3" fontId="55" fillId="0" borderId="0" xfId="0" applyNumberFormat="1" applyFont="1" applyFill="1" applyBorder="1" applyAlignment="1">
      <alignment horizontal="center" vertical="center" wrapText="1"/>
    </xf>
    <xf numFmtId="4" fontId="2" fillId="0" borderId="34" xfId="0" applyNumberFormat="1" applyFont="1" applyFill="1" applyBorder="1" applyAlignment="1">
      <alignment horizontal="center" vertical="center"/>
    </xf>
    <xf numFmtId="4" fontId="2" fillId="0" borderId="27" xfId="0" applyNumberFormat="1" applyFont="1" applyFill="1" applyBorder="1" applyAlignment="1">
      <alignment horizontal="center" vertical="center"/>
    </xf>
    <xf numFmtId="4" fontId="28" fillId="0" borderId="35" xfId="0" applyNumberFormat="1" applyFont="1" applyFill="1" applyBorder="1" applyAlignment="1">
      <alignment horizontal="center" vertical="center"/>
    </xf>
    <xf numFmtId="4" fontId="28" fillId="0" borderId="34" xfId="0" applyNumberFormat="1" applyFont="1" applyFill="1" applyBorder="1" applyAlignment="1">
      <alignment horizontal="center" vertical="center"/>
    </xf>
    <xf numFmtId="4" fontId="59" fillId="0" borderId="34" xfId="0" applyNumberFormat="1" applyFont="1" applyFill="1" applyBorder="1" applyAlignment="1">
      <alignment horizontal="center" vertical="center" wrapText="1"/>
    </xf>
    <xf numFmtId="4" fontId="55" fillId="0" borderId="34" xfId="0" applyNumberFormat="1" applyFont="1" applyFill="1" applyBorder="1" applyAlignment="1">
      <alignment horizontal="center" vertical="center" wrapText="1"/>
    </xf>
    <xf numFmtId="4" fontId="55" fillId="0" borderId="0" xfId="0" applyNumberFormat="1" applyFont="1" applyFill="1" applyBorder="1" applyAlignment="1">
      <alignment horizontal="center" vertical="center" wrapText="1"/>
    </xf>
    <xf numFmtId="4" fontId="2" fillId="0" borderId="0" xfId="0" applyNumberFormat="1" applyFont="1" applyFill="1" applyBorder="1" applyAlignment="1">
      <alignment horizontal="center" vertical="center"/>
    </xf>
    <xf numFmtId="4" fontId="28" fillId="0" borderId="27" xfId="0" applyNumberFormat="1" applyFont="1" applyFill="1" applyBorder="1" applyAlignment="1">
      <alignment horizontal="center" vertical="center"/>
    </xf>
    <xf numFmtId="0" fontId="28" fillId="0" borderId="18" xfId="0" applyFont="1" applyFill="1" applyBorder="1" applyAlignment="1">
      <alignment horizontal="center" vertical="center"/>
    </xf>
    <xf numFmtId="4" fontId="2" fillId="0" borderId="37" xfId="0" applyNumberFormat="1" applyFont="1" applyFill="1" applyBorder="1" applyAlignment="1">
      <alignment horizontal="center" vertical="center"/>
    </xf>
    <xf numFmtId="4" fontId="2" fillId="0" borderId="24" xfId="0" applyNumberFormat="1" applyFont="1" applyFill="1" applyBorder="1" applyAlignment="1">
      <alignment horizontal="center" vertical="center"/>
    </xf>
    <xf numFmtId="4" fontId="28" fillId="0" borderId="37" xfId="0" applyNumberFormat="1" applyFont="1" applyFill="1" applyBorder="1" applyAlignment="1">
      <alignment horizontal="center" vertical="center"/>
    </xf>
    <xf numFmtId="4" fontId="59" fillId="0" borderId="37" xfId="0" applyNumberFormat="1" applyFont="1" applyFill="1" applyBorder="1" applyAlignment="1">
      <alignment horizontal="center" vertical="center" wrapText="1"/>
    </xf>
    <xf numFmtId="4" fontId="2" fillId="14" borderId="27" xfId="0" applyNumberFormat="1" applyFont="1" applyFill="1" applyBorder="1" applyAlignment="1">
      <alignment horizontal="center" vertical="center"/>
    </xf>
    <xf numFmtId="0" fontId="28" fillId="0" borderId="51" xfId="0" applyFont="1" applyFill="1" applyBorder="1" applyAlignment="1">
      <alignment horizontal="center" vertical="center"/>
    </xf>
    <xf numFmtId="3" fontId="28" fillId="14" borderId="27" xfId="0" applyNumberFormat="1" applyFont="1" applyFill="1" applyBorder="1" applyAlignment="1">
      <alignment horizontal="center" vertical="center"/>
    </xf>
    <xf numFmtId="0" fontId="28" fillId="0" borderId="49" xfId="0" applyFont="1" applyFill="1" applyBorder="1" applyAlignment="1">
      <alignment horizontal="center" vertical="center"/>
    </xf>
    <xf numFmtId="0" fontId="28" fillId="0" borderId="37" xfId="0" applyFont="1" applyFill="1" applyBorder="1"/>
    <xf numFmtId="0" fontId="59" fillId="14" borderId="24" xfId="0" applyFont="1" applyFill="1" applyBorder="1" applyAlignment="1">
      <alignment horizontal="left" vertical="center" wrapText="1"/>
    </xf>
    <xf numFmtId="3" fontId="2" fillId="14" borderId="23" xfId="0" applyNumberFormat="1" applyFont="1" applyFill="1" applyBorder="1" applyAlignment="1">
      <alignment horizontal="center" vertical="center"/>
    </xf>
    <xf numFmtId="4" fontId="2" fillId="14" borderId="24" xfId="0" applyNumberFormat="1" applyFont="1" applyFill="1" applyBorder="1" applyAlignment="1">
      <alignment horizontal="center" vertical="center"/>
    </xf>
    <xf numFmtId="4" fontId="2" fillId="14" borderId="17" xfId="0" applyNumberFormat="1" applyFont="1" applyFill="1" applyBorder="1" applyAlignment="1">
      <alignment horizontal="center" vertical="center"/>
    </xf>
    <xf numFmtId="3" fontId="28" fillId="17" borderId="34" xfId="0" applyNumberFormat="1" applyFont="1" applyFill="1" applyBorder="1" applyAlignment="1">
      <alignment horizontal="center" vertical="center"/>
    </xf>
    <xf numFmtId="0" fontId="78" fillId="24" borderId="9" xfId="0" applyFont="1" applyFill="1" applyBorder="1" applyAlignment="1">
      <alignment horizontal="left" vertical="center" wrapText="1"/>
    </xf>
    <xf numFmtId="3" fontId="49" fillId="24" borderId="9" xfId="0" applyNumberFormat="1" applyFont="1" applyFill="1" applyBorder="1" applyAlignment="1">
      <alignment horizontal="center" vertical="center"/>
    </xf>
    <xf numFmtId="3" fontId="49" fillId="24" borderId="51" xfId="0" applyNumberFormat="1" applyFont="1" applyFill="1" applyBorder="1" applyAlignment="1">
      <alignment horizontal="center" vertical="center"/>
    </xf>
    <xf numFmtId="4" fontId="49" fillId="24" borderId="51" xfId="0" applyNumberFormat="1" applyFont="1" applyFill="1" applyBorder="1" applyAlignment="1">
      <alignment horizontal="center" vertical="center"/>
    </xf>
    <xf numFmtId="3" fontId="68" fillId="24" borderId="9" xfId="0" applyNumberFormat="1" applyFont="1" applyFill="1" applyBorder="1" applyAlignment="1">
      <alignment horizontal="center" vertical="center"/>
    </xf>
    <xf numFmtId="0" fontId="78" fillId="16" borderId="37" xfId="0" applyFont="1" applyFill="1" applyBorder="1" applyAlignment="1">
      <alignment horizontal="left" vertical="center" wrapText="1"/>
    </xf>
    <xf numFmtId="3" fontId="49" fillId="16" borderId="35" xfId="0" applyNumberFormat="1" applyFont="1" applyFill="1" applyBorder="1" applyAlignment="1">
      <alignment horizontal="center" vertical="center"/>
    </xf>
    <xf numFmtId="3" fontId="49" fillId="16" borderId="50" xfId="0" applyNumberFormat="1" applyFont="1" applyFill="1" applyBorder="1" applyAlignment="1">
      <alignment horizontal="center" vertical="center"/>
    </xf>
    <xf numFmtId="3" fontId="68" fillId="16" borderId="50" xfId="0" applyNumberFormat="1" applyFont="1" applyFill="1" applyBorder="1" applyAlignment="1">
      <alignment horizontal="center" vertical="center"/>
    </xf>
    <xf numFmtId="0" fontId="49" fillId="16" borderId="29" xfId="0" applyFont="1" applyFill="1" applyBorder="1"/>
    <xf numFmtId="3" fontId="78" fillId="16" borderId="52" xfId="0" applyNumberFormat="1" applyFont="1" applyFill="1" applyBorder="1" applyAlignment="1">
      <alignment horizontal="center" vertical="center" wrapText="1"/>
    </xf>
    <xf numFmtId="0" fontId="78" fillId="16" borderId="18" xfId="0" applyFont="1" applyFill="1" applyBorder="1" applyAlignment="1">
      <alignment horizontal="left" vertical="center" wrapText="1"/>
    </xf>
    <xf numFmtId="3" fontId="68" fillId="16" borderId="49" xfId="0" applyNumberFormat="1" applyFont="1" applyFill="1" applyBorder="1" applyAlignment="1">
      <alignment horizontal="center" vertical="center"/>
    </xf>
    <xf numFmtId="4" fontId="68" fillId="16" borderId="9" xfId="0" applyNumberFormat="1" applyFont="1" applyFill="1" applyBorder="1" applyAlignment="1">
      <alignment horizontal="center" vertical="center"/>
    </xf>
    <xf numFmtId="4" fontId="68" fillId="16" borderId="18" xfId="0" applyNumberFormat="1" applyFont="1" applyFill="1" applyBorder="1" applyAlignment="1">
      <alignment horizontal="center" vertical="center"/>
    </xf>
    <xf numFmtId="4" fontId="68" fillId="16" borderId="51" xfId="0" applyNumberFormat="1" applyFont="1" applyFill="1" applyBorder="1" applyAlignment="1">
      <alignment horizontal="center" vertical="center"/>
    </xf>
    <xf numFmtId="3" fontId="68" fillId="16" borderId="9" xfId="0" applyNumberFormat="1" applyFont="1" applyFill="1" applyBorder="1" applyAlignment="1">
      <alignment horizontal="center" vertical="center"/>
    </xf>
    <xf numFmtId="0" fontId="59" fillId="14" borderId="37" xfId="0" applyFont="1" applyFill="1" applyBorder="1" applyAlignment="1">
      <alignment horizontal="left" vertical="center" wrapText="1"/>
    </xf>
    <xf numFmtId="3" fontId="2" fillId="14" borderId="35" xfId="0" applyNumberFormat="1" applyFont="1" applyFill="1" applyBorder="1" applyAlignment="1">
      <alignment horizontal="center" vertical="center"/>
    </xf>
    <xf numFmtId="4" fontId="2" fillId="14" borderId="34" xfId="0" applyNumberFormat="1" applyFont="1" applyFill="1" applyBorder="1" applyAlignment="1">
      <alignment horizontal="center" vertical="center"/>
    </xf>
    <xf numFmtId="3" fontId="28" fillId="14" borderId="34" xfId="0" applyNumberFormat="1" applyFont="1" applyFill="1" applyBorder="1" applyAlignment="1">
      <alignment horizontal="center" vertical="center"/>
    </xf>
    <xf numFmtId="0" fontId="2" fillId="14" borderId="37" xfId="0" applyFont="1" applyFill="1" applyBorder="1"/>
    <xf numFmtId="3" fontId="28" fillId="14" borderId="35" xfId="0" applyNumberFormat="1" applyFont="1" applyFill="1" applyBorder="1" applyAlignment="1">
      <alignment horizontal="center" vertical="center"/>
    </xf>
    <xf numFmtId="4" fontId="28" fillId="14" borderId="34" xfId="0" applyNumberFormat="1" applyFont="1" applyFill="1" applyBorder="1" applyAlignment="1">
      <alignment horizontal="center" vertical="center"/>
    </xf>
    <xf numFmtId="0" fontId="28" fillId="14" borderId="37" xfId="0" applyFont="1" applyFill="1" applyBorder="1"/>
    <xf numFmtId="3" fontId="59" fillId="14" borderId="35" xfId="0" applyNumberFormat="1" applyFont="1" applyFill="1" applyBorder="1" applyAlignment="1">
      <alignment horizontal="center" vertical="center" wrapText="1"/>
    </xf>
    <xf numFmtId="4" fontId="59" fillId="14" borderId="34" xfId="0" applyNumberFormat="1" applyFont="1" applyFill="1" applyBorder="1" applyAlignment="1">
      <alignment horizontal="center" vertical="center" wrapText="1"/>
    </xf>
    <xf numFmtId="4" fontId="59" fillId="14" borderId="37" xfId="0" applyNumberFormat="1" applyFont="1" applyFill="1" applyBorder="1" applyAlignment="1">
      <alignment horizontal="center" vertical="center" wrapText="1"/>
    </xf>
    <xf numFmtId="4" fontId="59" fillId="14" borderId="0" xfId="0" applyNumberFormat="1" applyFont="1" applyFill="1" applyBorder="1" applyAlignment="1">
      <alignment horizontal="center" vertical="center" wrapText="1"/>
    </xf>
    <xf numFmtId="4" fontId="59" fillId="14" borderId="50" xfId="0" applyNumberFormat="1" applyFont="1" applyFill="1" applyBorder="1" applyAlignment="1">
      <alignment horizontal="center" vertical="center" wrapText="1"/>
    </xf>
    <xf numFmtId="4" fontId="59" fillId="14" borderId="52" xfId="0" applyNumberFormat="1" applyFont="1" applyFill="1" applyBorder="1" applyAlignment="1">
      <alignment horizontal="center" vertical="center" wrapText="1"/>
    </xf>
    <xf numFmtId="0" fontId="59" fillId="14" borderId="29" xfId="0" applyFont="1" applyFill="1" applyBorder="1" applyAlignment="1">
      <alignment horizontal="left" vertical="center" wrapText="1"/>
    </xf>
    <xf numFmtId="3" fontId="28" fillId="14" borderId="50" xfId="0" applyNumberFormat="1" applyFont="1" applyFill="1" applyBorder="1" applyAlignment="1">
      <alignment horizontal="center" vertical="center"/>
    </xf>
    <xf numFmtId="3" fontId="2" fillId="17" borderId="34" xfId="0" applyNumberFormat="1" applyFont="1" applyFill="1" applyBorder="1" applyAlignment="1">
      <alignment horizontal="center" vertical="center"/>
    </xf>
    <xf numFmtId="0" fontId="55" fillId="0" borderId="37" xfId="0" applyFont="1" applyFill="1" applyBorder="1" applyAlignment="1">
      <alignment horizontal="right" vertical="center" wrapText="1"/>
    </xf>
    <xf numFmtId="0" fontId="55" fillId="0" borderId="24" xfId="0" applyFont="1" applyFill="1" applyBorder="1" applyAlignment="1">
      <alignment horizontal="right" vertical="center" wrapText="1"/>
    </xf>
    <xf numFmtId="3" fontId="28" fillId="14" borderId="36" xfId="0" applyNumberFormat="1" applyFont="1" applyFill="1" applyBorder="1" applyAlignment="1">
      <alignment horizontal="center" vertical="center"/>
    </xf>
    <xf numFmtId="4" fontId="28" fillId="14" borderId="36" xfId="0" applyNumberFormat="1" applyFont="1" applyFill="1" applyBorder="1" applyAlignment="1">
      <alignment horizontal="center" vertical="center"/>
    </xf>
    <xf numFmtId="4" fontId="28" fillId="14" borderId="50" xfId="0" applyNumberFormat="1" applyFont="1" applyFill="1" applyBorder="1" applyAlignment="1">
      <alignment horizontal="center" vertical="center"/>
    </xf>
    <xf numFmtId="3" fontId="28" fillId="0" borderId="23" xfId="0" applyNumberFormat="1" applyFont="1" applyFill="1" applyBorder="1" applyAlignment="1">
      <alignment horizontal="center" vertical="center"/>
    </xf>
    <xf numFmtId="4" fontId="28" fillId="0" borderId="24" xfId="0" applyNumberFormat="1" applyFont="1" applyFill="1" applyBorder="1" applyAlignment="1">
      <alignment horizontal="center" vertical="center"/>
    </xf>
    <xf numFmtId="0" fontId="29" fillId="17" borderId="50" xfId="48" applyFont="1" applyFill="1" applyBorder="1" applyAlignment="1">
      <alignment vertical="center"/>
    </xf>
    <xf numFmtId="0" fontId="41" fillId="17" borderId="9" xfId="48" applyFont="1" applyFill="1" applyBorder="1" applyAlignment="1">
      <alignment vertical="center"/>
    </xf>
    <xf numFmtId="3" fontId="29" fillId="17" borderId="9" xfId="48" applyNumberFormat="1" applyFont="1" applyFill="1" applyBorder="1" applyAlignment="1">
      <alignment horizontal="center" vertical="center"/>
    </xf>
    <xf numFmtId="3" fontId="29" fillId="17" borderId="50" xfId="48" applyNumberFormat="1" applyFont="1" applyFill="1" applyBorder="1" applyAlignment="1">
      <alignment horizontal="center" vertical="center"/>
    </xf>
    <xf numFmtId="0" fontId="28" fillId="0" borderId="0" xfId="0" applyFont="1" applyAlignment="1">
      <alignment vertical="center"/>
    </xf>
    <xf numFmtId="3" fontId="59" fillId="14" borderId="0" xfId="0" applyNumberFormat="1" applyFont="1" applyFill="1" applyBorder="1" applyAlignment="1">
      <alignment horizontal="center" vertical="center" wrapText="1"/>
    </xf>
    <xf numFmtId="3" fontId="28" fillId="14" borderId="0" xfId="0" applyNumberFormat="1" applyFont="1" applyFill="1" applyBorder="1" applyAlignment="1">
      <alignment horizontal="center" vertical="center"/>
    </xf>
    <xf numFmtId="4" fontId="28" fillId="14" borderId="0" xfId="0" applyNumberFormat="1" applyFont="1" applyFill="1" applyBorder="1" applyAlignment="1">
      <alignment horizontal="center" vertical="center"/>
    </xf>
    <xf numFmtId="3" fontId="2" fillId="14" borderId="0" xfId="0" applyNumberFormat="1" applyFont="1" applyFill="1" applyBorder="1" applyAlignment="1">
      <alignment horizontal="center" vertical="center"/>
    </xf>
    <xf numFmtId="4" fontId="2" fillId="14" borderId="0" xfId="0" applyNumberFormat="1" applyFont="1" applyFill="1" applyBorder="1" applyAlignment="1">
      <alignment horizontal="center" vertical="center"/>
    </xf>
    <xf numFmtId="3" fontId="2" fillId="14" borderId="34" xfId="0" applyNumberFormat="1" applyFont="1" applyFill="1" applyBorder="1" applyAlignment="1">
      <alignment horizontal="center" vertical="center"/>
    </xf>
    <xf numFmtId="4" fontId="2" fillId="14" borderId="37" xfId="0" applyNumberFormat="1" applyFont="1" applyFill="1" applyBorder="1" applyAlignment="1">
      <alignment horizontal="center" vertical="center"/>
    </xf>
    <xf numFmtId="3" fontId="49" fillId="16" borderId="49" xfId="0" applyNumberFormat="1" applyFont="1" applyFill="1" applyBorder="1" applyAlignment="1">
      <alignment horizontal="center" vertical="center"/>
    </xf>
    <xf numFmtId="0" fontId="28" fillId="14" borderId="27" xfId="0" applyFont="1" applyFill="1" applyBorder="1" applyAlignment="1">
      <alignment horizontal="center"/>
    </xf>
    <xf numFmtId="0" fontId="68" fillId="16" borderId="18" xfId="0" applyFont="1" applyFill="1" applyBorder="1" applyAlignment="1">
      <alignment horizontal="left" vertical="center"/>
    </xf>
    <xf numFmtId="3" fontId="2" fillId="12" borderId="0" xfId="0" applyNumberFormat="1" applyFont="1" applyFill="1" applyAlignment="1">
      <alignment vertical="center"/>
    </xf>
    <xf numFmtId="3" fontId="29" fillId="0" borderId="0" xfId="0" applyNumberFormat="1" applyFont="1" applyFill="1"/>
    <xf numFmtId="3" fontId="29" fillId="0" borderId="0" xfId="0" applyNumberFormat="1" applyFont="1"/>
    <xf numFmtId="165" fontId="29" fillId="0" borderId="0" xfId="0" applyNumberFormat="1" applyFont="1" applyFill="1"/>
    <xf numFmtId="0" fontId="29" fillId="0" borderId="9" xfId="0" applyFont="1" applyFill="1" applyBorder="1" applyAlignment="1">
      <alignment vertical="center"/>
    </xf>
    <xf numFmtId="3" fontId="29" fillId="0" borderId="9" xfId="0" applyNumberFormat="1" applyFont="1" applyFill="1" applyBorder="1" applyAlignment="1">
      <alignment vertical="center"/>
    </xf>
    <xf numFmtId="3" fontId="29" fillId="0" borderId="0" xfId="0" applyNumberFormat="1" applyFont="1" applyFill="1" applyAlignment="1">
      <alignment vertical="center"/>
    </xf>
    <xf numFmtId="0" fontId="29" fillId="0" borderId="0" xfId="0" applyFont="1" applyFill="1" applyBorder="1" applyAlignment="1">
      <alignment horizontal="left" vertical="center" wrapText="1"/>
    </xf>
    <xf numFmtId="0" fontId="52" fillId="25" borderId="0" xfId="47" applyFont="1" applyFill="1" applyAlignment="1">
      <alignment vertical="center"/>
    </xf>
    <xf numFmtId="3" fontId="75" fillId="28" borderId="0" xfId="0" applyNumberFormat="1" applyFont="1" applyFill="1" applyBorder="1" applyAlignment="1">
      <alignment vertical="center"/>
    </xf>
    <xf numFmtId="0" fontId="29" fillId="0" borderId="37" xfId="0" applyFont="1" applyFill="1" applyBorder="1" applyAlignment="1">
      <alignment vertical="center"/>
    </xf>
    <xf numFmtId="3" fontId="29" fillId="0" borderId="0" xfId="0" applyNumberFormat="1" applyFont="1" applyFill="1" applyBorder="1" applyAlignment="1">
      <alignment vertical="center"/>
    </xf>
    <xf numFmtId="0" fontId="44" fillId="0" borderId="0" xfId="0" applyFont="1" applyFill="1" applyAlignment="1">
      <alignment vertical="center"/>
    </xf>
    <xf numFmtId="0" fontId="29" fillId="0" borderId="0" xfId="0" applyFont="1" applyFill="1" applyAlignment="1">
      <alignment vertical="center"/>
    </xf>
    <xf numFmtId="0" fontId="29" fillId="0" borderId="0" xfId="0" applyFont="1" applyAlignment="1">
      <alignment vertical="center"/>
    </xf>
    <xf numFmtId="3" fontId="29" fillId="0" borderId="0" xfId="0" applyNumberFormat="1" applyFont="1" applyAlignment="1">
      <alignment vertical="center"/>
    </xf>
    <xf numFmtId="3" fontId="29" fillId="0" borderId="9" xfId="0" applyNumberFormat="1" applyFont="1" applyBorder="1" applyAlignment="1">
      <alignment vertical="center"/>
    </xf>
    <xf numFmtId="0" fontId="29" fillId="0" borderId="0" xfId="0" applyFont="1" applyFill="1" applyBorder="1" applyAlignment="1">
      <alignment horizontal="left" vertical="center"/>
    </xf>
    <xf numFmtId="165" fontId="29" fillId="0" borderId="0" xfId="0" applyNumberFormat="1" applyFont="1" applyFill="1" applyAlignment="1">
      <alignment vertical="center"/>
    </xf>
    <xf numFmtId="3" fontId="2" fillId="0" borderId="0" xfId="0" applyNumberFormat="1" applyFont="1" applyAlignment="1">
      <alignment vertical="center"/>
    </xf>
    <xf numFmtId="4" fontId="29" fillId="0" borderId="0" xfId="0" applyNumberFormat="1" applyFont="1" applyFill="1" applyBorder="1" applyAlignment="1">
      <alignment vertical="center"/>
    </xf>
    <xf numFmtId="4" fontId="29" fillId="0" borderId="9" xfId="0" applyNumberFormat="1" applyFont="1" applyFill="1" applyBorder="1" applyAlignment="1">
      <alignment vertical="center"/>
    </xf>
    <xf numFmtId="165" fontId="29" fillId="0" borderId="9" xfId="0" applyNumberFormat="1" applyFont="1" applyFill="1" applyBorder="1" applyAlignment="1">
      <alignment vertical="center"/>
    </xf>
    <xf numFmtId="0" fontId="29" fillId="0" borderId="0" xfId="0" applyFont="1" applyFill="1" applyBorder="1" applyAlignment="1">
      <alignment vertical="center"/>
    </xf>
    <xf numFmtId="4" fontId="29" fillId="0" borderId="0" xfId="0" applyNumberFormat="1" applyFont="1" applyFill="1" applyAlignment="1">
      <alignment vertical="center"/>
    </xf>
    <xf numFmtId="0" fontId="44" fillId="0" borderId="37" xfId="0" applyFont="1" applyFill="1" applyBorder="1" applyAlignment="1">
      <alignment vertical="center"/>
    </xf>
    <xf numFmtId="3" fontId="29" fillId="12" borderId="0" xfId="0" applyNumberFormat="1" applyFont="1" applyFill="1"/>
    <xf numFmtId="4" fontId="29" fillId="12" borderId="0" xfId="0" applyNumberFormat="1" applyFont="1" applyFill="1"/>
    <xf numFmtId="0" fontId="29" fillId="12" borderId="0" xfId="0" applyFont="1" applyFill="1"/>
    <xf numFmtId="3" fontId="41" fillId="0" borderId="14" xfId="0" applyNumberFormat="1" applyFont="1" applyBorder="1" applyAlignment="1">
      <alignment horizontal="center" vertical="center" wrapText="1"/>
    </xf>
    <xf numFmtId="3" fontId="41" fillId="0" borderId="10" xfId="0" applyNumberFormat="1" applyFont="1" applyBorder="1" applyAlignment="1">
      <alignment horizontal="center" vertical="center" wrapText="1"/>
    </xf>
    <xf numFmtId="3" fontId="41" fillId="0" borderId="16" xfId="0" applyNumberFormat="1" applyFont="1" applyBorder="1" applyAlignment="1">
      <alignment horizontal="center" vertical="center" wrapText="1"/>
    </xf>
    <xf numFmtId="3" fontId="41" fillId="0" borderId="0" xfId="0" applyNumberFormat="1" applyFont="1" applyFill="1" applyBorder="1" applyAlignment="1">
      <alignment horizontal="left" vertical="center" wrapText="1"/>
    </xf>
    <xf numFmtId="3" fontId="29" fillId="12" borderId="0" xfId="0" applyNumberFormat="1" applyFont="1" applyFill="1" applyAlignment="1">
      <alignment vertical="center"/>
    </xf>
    <xf numFmtId="4" fontId="29" fillId="12" borderId="0" xfId="0" applyNumberFormat="1" applyFont="1" applyFill="1" applyAlignment="1">
      <alignment vertical="center"/>
    </xf>
    <xf numFmtId="0" fontId="29" fillId="12" borderId="0" xfId="0" applyFont="1" applyFill="1" applyAlignment="1">
      <alignment vertical="center"/>
    </xf>
    <xf numFmtId="0" fontId="44" fillId="0" borderId="0" xfId="0" applyFont="1" applyAlignment="1">
      <alignment vertical="center"/>
    </xf>
    <xf numFmtId="4" fontId="29" fillId="0" borderId="0" xfId="0" applyNumberFormat="1" applyFont="1"/>
    <xf numFmtId="3" fontId="29" fillId="17" borderId="12" xfId="0" applyNumberFormat="1" applyFont="1" applyFill="1" applyBorder="1" applyAlignment="1">
      <alignment horizontal="center" vertical="center"/>
    </xf>
    <xf numFmtId="3" fontId="29" fillId="17" borderId="13" xfId="0" applyNumberFormat="1" applyFont="1" applyFill="1" applyBorder="1" applyAlignment="1">
      <alignment horizontal="center" vertical="center"/>
    </xf>
    <xf numFmtId="4" fontId="29" fillId="17" borderId="13" xfId="0" applyNumberFormat="1" applyFont="1" applyFill="1" applyBorder="1" applyAlignment="1">
      <alignment horizontal="center" vertical="center"/>
    </xf>
    <xf numFmtId="165" fontId="29" fillId="17" borderId="13" xfId="0" applyNumberFormat="1" applyFont="1" applyFill="1" applyBorder="1" applyAlignment="1">
      <alignment horizontal="center" vertical="center"/>
    </xf>
    <xf numFmtId="165" fontId="29" fillId="17" borderId="15" xfId="0" applyNumberFormat="1" applyFont="1" applyFill="1" applyBorder="1" applyAlignment="1">
      <alignment horizontal="center" vertical="center"/>
    </xf>
    <xf numFmtId="0" fontId="75" fillId="28" borderId="0" xfId="0" applyFont="1" applyFill="1" applyBorder="1" applyAlignment="1">
      <alignment vertical="center"/>
    </xf>
    <xf numFmtId="0" fontId="2" fillId="17" borderId="0" xfId="29" applyFont="1" applyFill="1" applyAlignment="1">
      <alignment vertical="center"/>
    </xf>
    <xf numFmtId="0" fontId="2" fillId="17" borderId="9" xfId="29" applyFont="1" applyFill="1" applyBorder="1" applyAlignment="1">
      <alignment vertical="center"/>
    </xf>
    <xf numFmtId="0" fontId="2" fillId="0" borderId="9" xfId="29" applyFont="1" applyFill="1" applyBorder="1" applyAlignment="1">
      <alignment vertical="center"/>
    </xf>
    <xf numFmtId="1" fontId="67" fillId="15" borderId="9" xfId="29" applyNumberFormat="1" applyFont="1" applyFill="1" applyBorder="1" applyAlignment="1">
      <alignment horizontal="center" vertical="center" wrapText="1"/>
    </xf>
    <xf numFmtId="0" fontId="29" fillId="0" borderId="9" xfId="0" applyFont="1" applyBorder="1" applyAlignment="1">
      <alignment vertical="center"/>
    </xf>
    <xf numFmtId="1" fontId="28" fillId="14" borderId="9" xfId="29" applyNumberFormat="1" applyFont="1" applyFill="1" applyBorder="1" applyAlignment="1">
      <alignment horizontal="center" vertical="center" wrapText="1"/>
    </xf>
    <xf numFmtId="3" fontId="55" fillId="0" borderId="9" xfId="29" applyNumberFormat="1" applyFont="1" applyBorder="1" applyAlignment="1">
      <alignment horizontal="center" vertical="center"/>
    </xf>
    <xf numFmtId="3" fontId="2" fillId="0" borderId="9" xfId="29" applyNumberFormat="1" applyFont="1" applyBorder="1" applyAlignment="1">
      <alignment horizontal="center" vertical="center"/>
    </xf>
    <xf numFmtId="0" fontId="65" fillId="0" borderId="0" xfId="29" applyFont="1" applyAlignment="1">
      <alignment vertical="center"/>
    </xf>
    <xf numFmtId="0" fontId="2" fillId="0" borderId="0" xfId="29" applyFont="1" applyAlignment="1">
      <alignment vertical="center"/>
    </xf>
    <xf numFmtId="0" fontId="55" fillId="0" borderId="0" xfId="29" applyFont="1" applyAlignment="1">
      <alignment vertical="center"/>
    </xf>
    <xf numFmtId="0" fontId="55" fillId="0" borderId="9" xfId="29" applyFont="1" applyBorder="1" applyAlignment="1">
      <alignment horizontal="center" vertical="center"/>
    </xf>
    <xf numFmtId="172" fontId="55" fillId="0" borderId="9" xfId="29" applyNumberFormat="1" applyFont="1" applyBorder="1" applyAlignment="1">
      <alignment horizontal="center" vertical="center"/>
    </xf>
    <xf numFmtId="170" fontId="55" fillId="0" borderId="0" xfId="29" applyNumberFormat="1" applyFont="1" applyAlignment="1">
      <alignment vertical="center"/>
    </xf>
    <xf numFmtId="0" fontId="2" fillId="0" borderId="0" xfId="29" applyFont="1" applyFill="1" applyAlignment="1">
      <alignment vertical="center"/>
    </xf>
    <xf numFmtId="172" fontId="2" fillId="0" borderId="9" xfId="29" applyNumberFormat="1" applyFont="1" applyBorder="1" applyAlignment="1">
      <alignment horizontal="center" vertical="center"/>
    </xf>
    <xf numFmtId="170" fontId="2" fillId="0" borderId="0" xfId="29" applyNumberFormat="1" applyFont="1" applyAlignment="1">
      <alignment vertical="center"/>
    </xf>
    <xf numFmtId="170" fontId="2" fillId="0" borderId="0" xfId="29" applyNumberFormat="1" applyFont="1" applyBorder="1" applyAlignment="1">
      <alignment vertical="center"/>
    </xf>
    <xf numFmtId="0" fontId="2" fillId="0" borderId="0" xfId="29" applyFont="1" applyBorder="1" applyAlignment="1">
      <alignment vertical="center"/>
    </xf>
    <xf numFmtId="3" fontId="2" fillId="0" borderId="0" xfId="29" applyNumberFormat="1" applyFont="1" applyBorder="1" applyAlignment="1">
      <alignment horizontal="right" vertical="center"/>
    </xf>
    <xf numFmtId="172" fontId="2" fillId="0" borderId="0" xfId="29" applyNumberFormat="1" applyFont="1" applyBorder="1" applyAlignment="1">
      <alignment horizontal="center" vertical="center"/>
    </xf>
    <xf numFmtId="0" fontId="29" fillId="17" borderId="9" xfId="49" applyFont="1" applyFill="1" applyBorder="1" applyAlignment="1">
      <alignment horizontal="center" vertical="center"/>
    </xf>
    <xf numFmtId="0" fontId="29" fillId="17" borderId="50" xfId="49" applyFont="1" applyFill="1" applyBorder="1" applyAlignment="1">
      <alignment horizontal="center" vertical="center"/>
    </xf>
    <xf numFmtId="3" fontId="29" fillId="0" borderId="9" xfId="0" applyNumberFormat="1" applyFont="1" applyFill="1" applyBorder="1" applyAlignment="1">
      <alignment horizontal="center"/>
    </xf>
    <xf numFmtId="3" fontId="29" fillId="17" borderId="49" xfId="48" applyNumberFormat="1" applyFont="1" applyFill="1" applyBorder="1" applyAlignment="1">
      <alignment horizontal="center" vertical="center"/>
    </xf>
    <xf numFmtId="3" fontId="29" fillId="17" borderId="36" xfId="48" applyNumberFormat="1" applyFont="1" applyFill="1" applyBorder="1" applyAlignment="1">
      <alignment horizontal="center" vertical="center"/>
    </xf>
    <xf numFmtId="0" fontId="66" fillId="0" borderId="0" xfId="0" applyFont="1" applyFill="1" applyAlignment="1">
      <alignment horizontal="left" vertical="center"/>
    </xf>
    <xf numFmtId="3" fontId="2" fillId="0" borderId="9" xfId="0" applyNumberFormat="1" applyFont="1" applyBorder="1" applyAlignment="1">
      <alignment horizontal="center" vertical="center"/>
    </xf>
    <xf numFmtId="10" fontId="2" fillId="0" borderId="9" xfId="30" applyNumberFormat="1" applyFont="1" applyFill="1" applyBorder="1" applyAlignment="1">
      <alignment horizontal="center" vertical="center"/>
    </xf>
    <xf numFmtId="9" fontId="2" fillId="0" borderId="37" xfId="0" applyNumberFormat="1" applyFont="1" applyFill="1" applyBorder="1" applyAlignment="1">
      <alignment horizontal="right" vertical="center"/>
    </xf>
    <xf numFmtId="169" fontId="2" fillId="0" borderId="9" xfId="0" applyNumberFormat="1" applyFont="1" applyFill="1" applyBorder="1" applyAlignment="1">
      <alignment horizontal="center" vertical="center"/>
    </xf>
    <xf numFmtId="9" fontId="2" fillId="0" borderId="9" xfId="0" applyNumberFormat="1" applyFont="1" applyFill="1" applyBorder="1" applyAlignment="1">
      <alignment horizontal="center" vertical="center"/>
    </xf>
    <xf numFmtId="0" fontId="2" fillId="0" borderId="52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50" xfId="0" applyFont="1" applyFill="1" applyBorder="1" applyAlignment="1">
      <alignment horizontal="center" vertical="center"/>
    </xf>
    <xf numFmtId="0" fontId="2" fillId="17" borderId="0" xfId="0" applyFont="1" applyFill="1" applyAlignment="1">
      <alignment vertical="center"/>
    </xf>
    <xf numFmtId="0" fontId="53" fillId="17" borderId="0" xfId="0" applyFont="1" applyFill="1" applyAlignment="1">
      <alignment horizontal="left" vertical="center"/>
    </xf>
    <xf numFmtId="0" fontId="28" fillId="17" borderId="0" xfId="0" applyFont="1" applyFill="1" applyBorder="1" applyAlignment="1">
      <alignment vertical="center"/>
    </xf>
    <xf numFmtId="0" fontId="2" fillId="17" borderId="0" xfId="0" applyFont="1" applyFill="1" applyAlignment="1">
      <alignment horizontal="left" vertical="center"/>
    </xf>
    <xf numFmtId="0" fontId="28" fillId="0" borderId="0" xfId="0" applyFont="1" applyFill="1" applyBorder="1" applyAlignment="1">
      <alignment horizontal="left" vertical="center"/>
    </xf>
    <xf numFmtId="0" fontId="18" fillId="0" borderId="0" xfId="26" applyFont="1" applyFill="1" applyBorder="1" applyAlignment="1" applyProtection="1">
      <alignment vertical="center"/>
    </xf>
    <xf numFmtId="0" fontId="2" fillId="0" borderId="35" xfId="0" applyFont="1" applyBorder="1" applyAlignment="1">
      <alignment vertical="center"/>
    </xf>
    <xf numFmtId="3" fontId="2" fillId="0" borderId="0" xfId="0" applyNumberFormat="1" applyFont="1" applyBorder="1" applyAlignment="1">
      <alignment vertical="center"/>
    </xf>
    <xf numFmtId="9" fontId="2" fillId="0" borderId="9" xfId="30" applyFont="1" applyBorder="1" applyAlignment="1">
      <alignment horizontal="center" vertical="center"/>
    </xf>
    <xf numFmtId="0" fontId="53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60" fillId="0" borderId="0" xfId="0" applyFont="1" applyFill="1" applyAlignment="1">
      <alignment horizontal="left" vertical="center"/>
    </xf>
    <xf numFmtId="9" fontId="2" fillId="0" borderId="0" xfId="0" applyNumberFormat="1" applyFont="1" applyFill="1" applyBorder="1" applyAlignment="1">
      <alignment horizontal="right" vertical="center"/>
    </xf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3" fontId="2" fillId="0" borderId="0" xfId="0" applyNumberFormat="1" applyFont="1" applyBorder="1" applyAlignment="1">
      <alignment horizontal="left" vertical="center"/>
    </xf>
    <xf numFmtId="0" fontId="2" fillId="0" borderId="17" xfId="0" applyFont="1" applyBorder="1" applyAlignment="1">
      <alignment vertical="center"/>
    </xf>
    <xf numFmtId="0" fontId="2" fillId="0" borderId="17" xfId="0" applyFont="1" applyBorder="1" applyAlignment="1">
      <alignment horizontal="left" vertical="center"/>
    </xf>
    <xf numFmtId="0" fontId="2" fillId="0" borderId="17" xfId="0" applyFont="1" applyFill="1" applyBorder="1" applyAlignment="1">
      <alignment vertical="center"/>
    </xf>
    <xf numFmtId="0" fontId="2" fillId="0" borderId="0" xfId="0" applyFont="1" applyAlignment="1">
      <alignment horizontal="left" vertical="center"/>
    </xf>
    <xf numFmtId="0" fontId="28" fillId="17" borderId="0" xfId="0" applyFont="1" applyFill="1" applyAlignment="1">
      <alignment vertical="center"/>
    </xf>
    <xf numFmtId="3" fontId="28" fillId="17" borderId="30" xfId="0" applyNumberFormat="1" applyFont="1" applyFill="1" applyBorder="1" applyAlignment="1">
      <alignment horizontal="center" vertical="center"/>
    </xf>
    <xf numFmtId="3" fontId="28" fillId="17" borderId="0" xfId="0" applyNumberFormat="1" applyFont="1" applyFill="1" applyBorder="1" applyAlignment="1">
      <alignment horizontal="center" vertical="center"/>
    </xf>
    <xf numFmtId="0" fontId="28" fillId="17" borderId="0" xfId="0" applyFont="1" applyFill="1" applyBorder="1" applyAlignment="1">
      <alignment horizontal="left" vertical="center"/>
    </xf>
    <xf numFmtId="0" fontId="2" fillId="17" borderId="0" xfId="0" applyFont="1" applyFill="1" applyBorder="1" applyAlignment="1">
      <alignment horizontal="left" vertical="center"/>
    </xf>
    <xf numFmtId="9" fontId="2" fillId="0" borderId="0" xfId="30" applyFont="1" applyFill="1" applyBorder="1" applyAlignment="1">
      <alignment vertical="center"/>
    </xf>
    <xf numFmtId="3" fontId="2" fillId="15" borderId="9" xfId="0" applyNumberFormat="1" applyFont="1" applyFill="1" applyBorder="1" applyAlignment="1">
      <alignment horizontal="center" vertical="center"/>
    </xf>
    <xf numFmtId="0" fontId="2" fillId="0" borderId="0" xfId="26" applyFont="1" applyFill="1" applyBorder="1" applyAlignment="1" applyProtection="1">
      <alignment vertical="center"/>
    </xf>
    <xf numFmtId="165" fontId="2" fillId="0" borderId="9" xfId="0" applyNumberFormat="1" applyFont="1" applyFill="1" applyBorder="1" applyAlignment="1">
      <alignment horizontal="center" vertical="center"/>
    </xf>
    <xf numFmtId="165" fontId="2" fillId="0" borderId="0" xfId="0" applyNumberFormat="1" applyFont="1" applyFill="1" applyBorder="1" applyAlignment="1">
      <alignment vertical="center"/>
    </xf>
    <xf numFmtId="4" fontId="2" fillId="0" borderId="9" xfId="0" applyNumberFormat="1" applyFont="1" applyFill="1" applyBorder="1" applyAlignment="1">
      <alignment horizontal="center" vertical="center"/>
    </xf>
    <xf numFmtId="3" fontId="28" fillId="0" borderId="0" xfId="0" applyNumberFormat="1" applyFont="1" applyFill="1" applyBorder="1" applyAlignment="1">
      <alignment vertical="center"/>
    </xf>
    <xf numFmtId="167" fontId="2" fillId="0" borderId="0" xfId="0" applyNumberFormat="1" applyFont="1" applyFill="1" applyBorder="1" applyAlignment="1">
      <alignment vertical="center"/>
    </xf>
    <xf numFmtId="1" fontId="2" fillId="0" borderId="0" xfId="0" applyNumberFormat="1" applyFont="1" applyFill="1" applyBorder="1" applyAlignment="1">
      <alignment vertical="center"/>
    </xf>
    <xf numFmtId="0" fontId="2" fillId="0" borderId="0" xfId="0" applyFont="1" applyFill="1" applyAlignment="1">
      <alignment horizontal="left" vertical="center"/>
    </xf>
    <xf numFmtId="3" fontId="2" fillId="0" borderId="0" xfId="0" applyNumberFormat="1" applyFont="1" applyFill="1" applyAlignment="1">
      <alignment vertical="center"/>
    </xf>
    <xf numFmtId="3" fontId="2" fillId="0" borderId="0" xfId="0" applyNumberFormat="1" applyFont="1" applyFill="1" applyAlignment="1">
      <alignment horizontal="left" vertical="center"/>
    </xf>
    <xf numFmtId="1" fontId="2" fillId="0" borderId="0" xfId="0" applyNumberFormat="1" applyFont="1" applyFill="1" applyAlignment="1">
      <alignment horizontal="left" vertical="center"/>
    </xf>
    <xf numFmtId="0" fontId="28" fillId="0" borderId="9" xfId="0" applyFont="1" applyBorder="1" applyAlignment="1">
      <alignment horizontal="left" vertical="center" wrapText="1"/>
    </xf>
    <xf numFmtId="0" fontId="28" fillId="0" borderId="9" xfId="0" applyFont="1" applyBorder="1" applyAlignment="1">
      <alignment horizontal="center" vertical="center"/>
    </xf>
    <xf numFmtId="0" fontId="2" fillId="0" borderId="9" xfId="0" applyFont="1" applyBorder="1" applyAlignment="1">
      <alignment horizontal="left" vertical="center"/>
    </xf>
    <xf numFmtId="0" fontId="28" fillId="14" borderId="9" xfId="0" applyFont="1" applyFill="1" applyBorder="1" applyAlignment="1">
      <alignment horizontal="left" vertical="center"/>
    </xf>
    <xf numFmtId="3" fontId="28" fillId="14" borderId="9" xfId="0" applyNumberFormat="1" applyFont="1" applyFill="1" applyBorder="1" applyAlignment="1">
      <alignment horizontal="center" vertical="center"/>
    </xf>
    <xf numFmtId="0" fontId="57" fillId="0" borderId="0" xfId="0" applyFont="1" applyFill="1" applyBorder="1" applyAlignment="1">
      <alignment horizontal="left" vertical="center" wrapText="1"/>
    </xf>
    <xf numFmtId="0" fontId="57" fillId="0" borderId="0" xfId="0" applyFont="1" applyFill="1" applyBorder="1" applyAlignment="1">
      <alignment horizontal="left" vertical="center"/>
    </xf>
    <xf numFmtId="3" fontId="2" fillId="14" borderId="9" xfId="0" applyNumberFormat="1" applyFont="1" applyFill="1" applyBorder="1" applyAlignment="1">
      <alignment horizontal="center" vertical="center"/>
    </xf>
    <xf numFmtId="3" fontId="28" fillId="0" borderId="9" xfId="0" applyNumberFormat="1" applyFont="1" applyBorder="1" applyAlignment="1">
      <alignment horizontal="center" vertical="center" wrapText="1"/>
    </xf>
    <xf numFmtId="3" fontId="2" fillId="0" borderId="9" xfId="0" applyNumberFormat="1" applyFont="1" applyFill="1" applyBorder="1" applyAlignment="1">
      <alignment vertical="center"/>
    </xf>
    <xf numFmtId="0" fontId="28" fillId="17" borderId="9" xfId="0" applyFont="1" applyFill="1" applyBorder="1" applyAlignment="1">
      <alignment horizontal="left" vertical="center" wrapText="1"/>
    </xf>
    <xf numFmtId="0" fontId="28" fillId="17" borderId="9" xfId="0" applyFont="1" applyFill="1" applyBorder="1" applyAlignment="1">
      <alignment horizontal="center" vertical="center"/>
    </xf>
    <xf numFmtId="0" fontId="2" fillId="17" borderId="9" xfId="0" applyFont="1" applyFill="1" applyBorder="1" applyAlignment="1">
      <alignment horizontal="left" vertical="center"/>
    </xf>
    <xf numFmtId="165" fontId="28" fillId="14" borderId="9" xfId="0" applyNumberFormat="1" applyFont="1" applyFill="1" applyBorder="1" applyAlignment="1">
      <alignment horizontal="center" vertical="center"/>
    </xf>
    <xf numFmtId="0" fontId="28" fillId="0" borderId="9" xfId="0" applyFont="1" applyFill="1" applyBorder="1" applyAlignment="1">
      <alignment horizontal="left" vertical="center" wrapText="1"/>
    </xf>
    <xf numFmtId="0" fontId="2" fillId="15" borderId="9" xfId="0" applyFont="1" applyFill="1" applyBorder="1" applyAlignment="1">
      <alignment horizontal="left" vertical="center"/>
    </xf>
    <xf numFmtId="0" fontId="28" fillId="0" borderId="9" xfId="0" applyFont="1" applyBorder="1" applyAlignment="1">
      <alignment horizontal="center" vertical="center" wrapText="1"/>
    </xf>
    <xf numFmtId="0" fontId="2" fillId="15" borderId="9" xfId="0" applyFont="1" applyFill="1" applyBorder="1" applyAlignment="1">
      <alignment vertical="center"/>
    </xf>
    <xf numFmtId="9" fontId="2" fillId="15" borderId="9" xfId="30" applyFont="1" applyFill="1" applyBorder="1" applyAlignment="1">
      <alignment vertical="center"/>
    </xf>
    <xf numFmtId="0" fontId="84" fillId="22" borderId="0" xfId="0" applyFont="1" applyFill="1" applyAlignment="1">
      <alignment vertical="center"/>
    </xf>
    <xf numFmtId="0" fontId="84" fillId="22" borderId="0" xfId="0" applyFont="1" applyFill="1" applyAlignment="1">
      <alignment horizontal="left" vertical="center"/>
    </xf>
    <xf numFmtId="0" fontId="85" fillId="22" borderId="0" xfId="0" applyFont="1" applyFill="1" applyAlignment="1">
      <alignment vertical="center"/>
    </xf>
    <xf numFmtId="0" fontId="49" fillId="30" borderId="0" xfId="0" applyFont="1" applyFill="1" applyAlignment="1">
      <alignment vertical="center"/>
    </xf>
    <xf numFmtId="0" fontId="49" fillId="30" borderId="0" xfId="0" applyFont="1" applyFill="1" applyAlignment="1">
      <alignment horizontal="left" vertical="center"/>
    </xf>
    <xf numFmtId="0" fontId="86" fillId="0" borderId="0" xfId="0" applyFont="1"/>
    <xf numFmtId="0" fontId="29" fillId="0" borderId="9" xfId="0" applyFont="1" applyBorder="1" applyAlignment="1">
      <alignment horizontal="left" vertical="center" indent="1"/>
    </xf>
    <xf numFmtId="3" fontId="29" fillId="0" borderId="9" xfId="0" applyNumberFormat="1" applyFont="1" applyFill="1" applyBorder="1" applyAlignment="1">
      <alignment horizontal="center" vertical="center"/>
    </xf>
    <xf numFmtId="0" fontId="29" fillId="0" borderId="9" xfId="0" applyFont="1" applyFill="1" applyBorder="1" applyAlignment="1">
      <alignment horizontal="left" vertical="center" indent="1"/>
    </xf>
    <xf numFmtId="0" fontId="29" fillId="0" borderId="0" xfId="0" applyFont="1" applyAlignment="1">
      <alignment horizontal="left" indent="1"/>
    </xf>
    <xf numFmtId="9" fontId="29" fillId="0" borderId="0" xfId="30" applyFont="1"/>
    <xf numFmtId="0" fontId="29" fillId="0" borderId="0" xfId="0" applyFont="1" applyFill="1" applyAlignment="1">
      <alignment horizontal="left" indent="1"/>
    </xf>
    <xf numFmtId="0" fontId="41" fillId="0" borderId="9" xfId="0" applyFont="1" applyBorder="1" applyAlignment="1">
      <alignment horizontal="left" vertical="center" wrapText="1"/>
    </xf>
    <xf numFmtId="0" fontId="41" fillId="17" borderId="9" xfId="0" applyFont="1" applyFill="1" applyBorder="1" applyAlignment="1">
      <alignment horizontal="center" vertical="center"/>
    </xf>
    <xf numFmtId="3" fontId="41" fillId="0" borderId="9" xfId="0" applyNumberFormat="1" applyFont="1" applyBorder="1" applyAlignment="1">
      <alignment horizontal="center" vertical="center" wrapText="1"/>
    </xf>
    <xf numFmtId="0" fontId="29" fillId="14" borderId="9" xfId="0" applyFont="1" applyFill="1" applyBorder="1" applyAlignment="1">
      <alignment horizontal="left" vertical="center" indent="1"/>
    </xf>
    <xf numFmtId="3" fontId="29" fillId="14" borderId="9" xfId="0" applyNumberFormat="1" applyFont="1" applyFill="1" applyBorder="1" applyAlignment="1">
      <alignment horizontal="center" vertical="center"/>
    </xf>
    <xf numFmtId="3" fontId="41" fillId="14" borderId="9" xfId="0" applyNumberFormat="1" applyFont="1" applyFill="1" applyBorder="1" applyAlignment="1">
      <alignment horizontal="center" vertical="center"/>
    </xf>
    <xf numFmtId="0" fontId="29" fillId="0" borderId="0" xfId="0" applyFont="1" applyFill="1" applyAlignment="1">
      <alignment wrapText="1"/>
    </xf>
    <xf numFmtId="0" fontId="41" fillId="0" borderId="9" xfId="0" applyFont="1" applyFill="1" applyBorder="1" applyAlignment="1">
      <alignment horizontal="center" vertical="center"/>
    </xf>
    <xf numFmtId="0" fontId="29" fillId="0" borderId="9" xfId="0" applyFont="1" applyFill="1" applyBorder="1" applyAlignment="1">
      <alignment horizontal="left" vertical="center"/>
    </xf>
    <xf numFmtId="0" fontId="29" fillId="0" borderId="0" xfId="0" applyFont="1" applyAlignment="1">
      <alignment wrapText="1"/>
    </xf>
    <xf numFmtId="0" fontId="29" fillId="0" borderId="9" xfId="0" applyFont="1" applyBorder="1" applyAlignment="1">
      <alignment horizontal="left" vertical="center" wrapText="1" indent="1"/>
    </xf>
    <xf numFmtId="0" fontId="46" fillId="30" borderId="0" xfId="0" applyFont="1" applyFill="1" applyAlignment="1">
      <alignment vertical="center"/>
    </xf>
    <xf numFmtId="0" fontId="46" fillId="30" borderId="0" xfId="0" applyFont="1" applyFill="1" applyAlignment="1">
      <alignment horizontal="left" vertical="center"/>
    </xf>
    <xf numFmtId="4" fontId="29" fillId="14" borderId="9" xfId="0" applyNumberFormat="1" applyFont="1" applyFill="1" applyBorder="1" applyAlignment="1">
      <alignment horizontal="center" vertical="center"/>
    </xf>
    <xf numFmtId="3" fontId="29" fillId="0" borderId="9" xfId="0" applyNumberFormat="1" applyFont="1" applyFill="1" applyBorder="1" applyAlignment="1">
      <alignment horizontal="right" vertical="center"/>
    </xf>
    <xf numFmtId="0" fontId="29" fillId="0" borderId="0" xfId="0" applyFont="1" applyFill="1" applyAlignment="1">
      <alignment vertical="center" wrapText="1"/>
    </xf>
    <xf numFmtId="165" fontId="29" fillId="0" borderId="9" xfId="0" applyNumberFormat="1" applyFont="1" applyFill="1" applyBorder="1" applyAlignment="1">
      <alignment horizontal="right" vertical="center" wrapText="1"/>
    </xf>
    <xf numFmtId="0" fontId="29" fillId="17" borderId="9" xfId="0" applyFont="1" applyFill="1" applyBorder="1" applyAlignment="1">
      <alignment horizontal="left" vertical="center" indent="1"/>
    </xf>
    <xf numFmtId="3" fontId="41" fillId="17" borderId="9" xfId="0" applyNumberFormat="1" applyFont="1" applyFill="1" applyBorder="1" applyAlignment="1">
      <alignment horizontal="center" vertical="center"/>
    </xf>
    <xf numFmtId="0" fontId="41" fillId="0" borderId="9" xfId="0" applyFont="1" applyFill="1" applyBorder="1" applyAlignment="1">
      <alignment horizontal="center" vertical="center" wrapText="1"/>
    </xf>
    <xf numFmtId="3" fontId="29" fillId="17" borderId="9" xfId="0" applyNumberFormat="1" applyFont="1" applyFill="1" applyBorder="1" applyAlignment="1">
      <alignment horizontal="center" vertical="center"/>
    </xf>
    <xf numFmtId="0" fontId="29" fillId="0" borderId="0" xfId="0" applyFont="1" applyAlignment="1">
      <alignment vertical="top"/>
    </xf>
    <xf numFmtId="0" fontId="75" fillId="17" borderId="0" xfId="0" applyFont="1" applyFill="1" applyAlignment="1">
      <alignment vertical="center"/>
    </xf>
    <xf numFmtId="0" fontId="49" fillId="17" borderId="0" xfId="0" applyFont="1" applyFill="1" applyAlignment="1">
      <alignment vertical="center"/>
    </xf>
    <xf numFmtId="0" fontId="49" fillId="17" borderId="0" xfId="0" applyFont="1" applyFill="1" applyAlignment="1">
      <alignment horizontal="left" vertical="center"/>
    </xf>
    <xf numFmtId="0" fontId="75" fillId="30" borderId="9" xfId="0" applyFont="1" applyFill="1" applyBorder="1" applyAlignment="1">
      <alignment vertical="center"/>
    </xf>
    <xf numFmtId="0" fontId="49" fillId="17" borderId="0" xfId="0" applyFont="1" applyFill="1" applyBorder="1" applyAlignment="1">
      <alignment vertical="center"/>
    </xf>
    <xf numFmtId="0" fontId="75" fillId="17" borderId="0" xfId="0" applyFont="1" applyFill="1" applyBorder="1" applyAlignment="1">
      <alignment vertical="center"/>
    </xf>
    <xf numFmtId="3" fontId="38" fillId="17" borderId="9" xfId="0" applyNumberFormat="1" applyFont="1" applyFill="1" applyBorder="1" applyAlignment="1">
      <alignment horizontal="center" vertical="center"/>
    </xf>
    <xf numFmtId="0" fontId="53" fillId="12" borderId="0" xfId="0" applyFont="1" applyFill="1" applyAlignment="1">
      <alignment vertical="center"/>
    </xf>
    <xf numFmtId="0" fontId="2" fillId="17" borderId="9" xfId="0" applyFont="1" applyFill="1" applyBorder="1" applyAlignment="1">
      <alignment vertical="center"/>
    </xf>
    <xf numFmtId="0" fontId="41" fillId="0" borderId="9" xfId="0" applyFont="1" applyBorder="1" applyAlignment="1">
      <alignment horizontal="center" vertical="center" wrapText="1"/>
    </xf>
    <xf numFmtId="0" fontId="29" fillId="0" borderId="9" xfId="0" applyFont="1" applyBorder="1" applyAlignment="1">
      <alignment horizontal="center" vertical="center"/>
    </xf>
    <xf numFmtId="0" fontId="41" fillId="13" borderId="9" xfId="0" applyFont="1" applyFill="1" applyBorder="1" applyAlignment="1">
      <alignment horizontal="left" vertical="center"/>
    </xf>
    <xf numFmtId="3" fontId="41" fillId="13" borderId="9" xfId="0" quotePrefix="1" applyNumberFormat="1" applyFont="1" applyFill="1" applyBorder="1" applyAlignment="1">
      <alignment horizontal="center" vertical="center"/>
    </xf>
    <xf numFmtId="3" fontId="41" fillId="13" borderId="9" xfId="0" applyNumberFormat="1" applyFont="1" applyFill="1" applyBorder="1" applyAlignment="1">
      <alignment horizontal="center" vertical="center"/>
    </xf>
    <xf numFmtId="0" fontId="41" fillId="0" borderId="9" xfId="0" applyFont="1" applyBorder="1" applyAlignment="1">
      <alignment horizontal="center" vertical="center"/>
    </xf>
    <xf numFmtId="0" fontId="29" fillId="12" borderId="0" xfId="0" applyFont="1" applyFill="1" applyAlignment="1">
      <alignment horizontal="center" vertical="center"/>
    </xf>
    <xf numFmtId="3" fontId="29" fillId="0" borderId="9" xfId="0" applyNumberFormat="1" applyFont="1" applyFill="1" applyBorder="1" applyAlignment="1">
      <alignment horizontal="center" vertical="center"/>
    </xf>
    <xf numFmtId="167" fontId="29" fillId="13" borderId="9" xfId="0" applyNumberFormat="1" applyFont="1" applyFill="1" applyBorder="1" applyAlignment="1">
      <alignment horizontal="center" vertical="center" wrapText="1"/>
    </xf>
    <xf numFmtId="167" fontId="29" fillId="13" borderId="9" xfId="0" applyNumberFormat="1" applyFont="1" applyFill="1" applyBorder="1" applyAlignment="1">
      <alignment horizontal="center" vertical="center"/>
    </xf>
    <xf numFmtId="0" fontId="41" fillId="12" borderId="0" xfId="0" applyFont="1" applyFill="1" applyAlignment="1">
      <alignment horizontal="left" vertical="center"/>
    </xf>
    <xf numFmtId="3" fontId="29" fillId="17" borderId="9" xfId="41" applyNumberFormat="1" applyFont="1" applyFill="1" applyBorder="1" applyAlignment="1">
      <alignment horizontal="right" vertical="center"/>
    </xf>
    <xf numFmtId="0" fontId="29" fillId="12" borderId="9" xfId="0" applyFont="1" applyFill="1" applyBorder="1" applyAlignment="1">
      <alignment horizontal="left" vertical="center"/>
    </xf>
    <xf numFmtId="0" fontId="29" fillId="17" borderId="0" xfId="0" applyFont="1" applyFill="1" applyAlignment="1">
      <alignment horizontal="center" vertical="center"/>
    </xf>
    <xf numFmtId="0" fontId="41" fillId="12" borderId="0" xfId="0" applyFont="1" applyFill="1" applyAlignment="1">
      <alignment vertical="center"/>
    </xf>
    <xf numFmtId="0" fontId="29" fillId="17" borderId="0" xfId="0" applyFont="1" applyFill="1" applyBorder="1" applyAlignment="1">
      <alignment vertical="center"/>
    </xf>
    <xf numFmtId="3" fontId="41" fillId="17" borderId="0" xfId="0" applyNumberFormat="1" applyFont="1" applyFill="1" applyBorder="1" applyAlignment="1">
      <alignment vertical="center"/>
    </xf>
    <xf numFmtId="3" fontId="29" fillId="17" borderId="9" xfId="0" applyNumberFormat="1" applyFont="1" applyFill="1" applyBorder="1" applyAlignment="1">
      <alignment vertical="center"/>
    </xf>
    <xf numFmtId="0" fontId="29" fillId="0" borderId="9" xfId="0" applyFont="1" applyFill="1" applyBorder="1" applyAlignment="1">
      <alignment horizontal="center" vertical="center"/>
    </xf>
    <xf numFmtId="3" fontId="29" fillId="17" borderId="0" xfId="0" applyNumberFormat="1" applyFont="1" applyFill="1" applyAlignment="1">
      <alignment horizontal="center" vertical="center"/>
    </xf>
    <xf numFmtId="165" fontId="29" fillId="17" borderId="9" xfId="0" applyNumberFormat="1" applyFont="1" applyFill="1" applyBorder="1" applyAlignment="1">
      <alignment horizontal="center" vertical="center"/>
    </xf>
    <xf numFmtId="0" fontId="41" fillId="17" borderId="0" xfId="0" applyFont="1" applyFill="1" applyAlignment="1">
      <alignment vertical="center"/>
    </xf>
    <xf numFmtId="0" fontId="41" fillId="13" borderId="9" xfId="0" applyFont="1" applyFill="1" applyBorder="1" applyAlignment="1">
      <alignment horizontal="center" vertical="center"/>
    </xf>
    <xf numFmtId="0" fontId="29" fillId="13" borderId="9" xfId="0" applyFont="1" applyFill="1" applyBorder="1" applyAlignment="1">
      <alignment horizontal="center" vertical="center"/>
    </xf>
    <xf numFmtId="0" fontId="29" fillId="17" borderId="9" xfId="0" applyFont="1" applyFill="1" applyBorder="1" applyAlignment="1">
      <alignment horizontal="center" vertical="center"/>
    </xf>
    <xf numFmtId="0" fontId="38" fillId="17" borderId="9" xfId="46" applyFont="1" applyFill="1" applyBorder="1" applyAlignment="1">
      <alignment vertical="center"/>
    </xf>
    <xf numFmtId="0" fontId="75" fillId="34" borderId="0" xfId="0" applyFont="1" applyFill="1" applyAlignment="1">
      <alignment vertical="center"/>
    </xf>
    <xf numFmtId="0" fontId="45" fillId="16" borderId="9" xfId="0" applyFont="1" applyFill="1" applyBorder="1" applyAlignment="1">
      <alignment horizontal="center" vertical="center" wrapText="1"/>
    </xf>
    <xf numFmtId="0" fontId="45" fillId="16" borderId="9" xfId="0" applyFont="1" applyFill="1" applyBorder="1" applyAlignment="1">
      <alignment vertical="center"/>
    </xf>
    <xf numFmtId="0" fontId="46" fillId="16" borderId="9" xfId="0" applyFont="1" applyFill="1" applyBorder="1" applyAlignment="1">
      <alignment horizontal="center" vertical="center"/>
    </xf>
    <xf numFmtId="49" fontId="46" fillId="16" borderId="9" xfId="45" applyNumberFormat="1" applyFont="1" applyFill="1" applyBorder="1" applyAlignment="1">
      <alignment horizontal="center" vertical="center"/>
    </xf>
    <xf numFmtId="0" fontId="41" fillId="13" borderId="9" xfId="0" applyFont="1" applyFill="1" applyBorder="1" applyAlignment="1">
      <alignment vertical="center"/>
    </xf>
    <xf numFmtId="0" fontId="46" fillId="16" borderId="9" xfId="0" applyFont="1" applyFill="1" applyBorder="1" applyAlignment="1">
      <alignment vertical="center"/>
    </xf>
    <xf numFmtId="0" fontId="29" fillId="17" borderId="9" xfId="0" applyFont="1" applyFill="1" applyBorder="1" applyAlignment="1">
      <alignment horizontal="left" vertical="center"/>
    </xf>
    <xf numFmtId="1" fontId="29" fillId="17" borderId="9" xfId="0" applyNumberFormat="1" applyFont="1" applyFill="1" applyBorder="1" applyAlignment="1">
      <alignment vertical="center"/>
    </xf>
    <xf numFmtId="0" fontId="29" fillId="0" borderId="9" xfId="0" applyFont="1" applyBorder="1" applyAlignment="1">
      <alignment vertical="center"/>
    </xf>
    <xf numFmtId="0" fontId="41" fillId="0" borderId="9" xfId="0" applyFont="1" applyBorder="1" applyAlignment="1">
      <alignment horizontal="center" vertical="center" wrapText="1"/>
    </xf>
    <xf numFmtId="0" fontId="29" fillId="0" borderId="9" xfId="0" applyFont="1" applyBorder="1" applyAlignment="1">
      <alignment horizontal="center" vertical="center"/>
    </xf>
    <xf numFmtId="0" fontId="45" fillId="16" borderId="9" xfId="0" applyFont="1" applyFill="1" applyBorder="1" applyAlignment="1">
      <alignment horizontal="center" vertical="center" wrapText="1"/>
    </xf>
    <xf numFmtId="9" fontId="29" fillId="20" borderId="9" xfId="30" applyFont="1" applyFill="1" applyBorder="1" applyAlignment="1">
      <alignment horizontal="center" vertical="center"/>
    </xf>
    <xf numFmtId="9" fontId="29" fillId="19" borderId="9" xfId="30" applyFont="1" applyFill="1" applyBorder="1" applyAlignment="1">
      <alignment horizontal="center" vertical="center"/>
    </xf>
    <xf numFmtId="9" fontId="29" fillId="15" borderId="9" xfId="30" applyFont="1" applyFill="1" applyBorder="1" applyAlignment="1">
      <alignment horizontal="center" vertical="center"/>
    </xf>
    <xf numFmtId="0" fontId="45" fillId="16" borderId="9" xfId="0" applyFont="1" applyFill="1" applyBorder="1" applyAlignment="1">
      <alignment vertical="center"/>
    </xf>
    <xf numFmtId="0" fontId="45" fillId="16" borderId="9" xfId="0" applyFont="1" applyFill="1" applyBorder="1" applyAlignment="1">
      <alignment horizontal="center" vertical="center"/>
    </xf>
    <xf numFmtId="0" fontId="46" fillId="16" borderId="9" xfId="0" applyFont="1" applyFill="1" applyBorder="1" applyAlignment="1">
      <alignment horizontal="center" vertical="center"/>
    </xf>
    <xf numFmtId="10" fontId="29" fillId="17" borderId="9" xfId="0" applyNumberFormat="1" applyFont="1" applyFill="1" applyBorder="1" applyAlignment="1">
      <alignment vertical="center"/>
    </xf>
    <xf numFmtId="167" fontId="29" fillId="17" borderId="9" xfId="0" applyNumberFormat="1" applyFont="1" applyFill="1" applyBorder="1" applyAlignment="1">
      <alignment vertical="center"/>
    </xf>
    <xf numFmtId="0" fontId="41" fillId="0" borderId="9" xfId="0" applyFont="1" applyBorder="1" applyAlignment="1">
      <alignment vertical="center"/>
    </xf>
    <xf numFmtId="11" fontId="29" fillId="17" borderId="9" xfId="0" applyNumberFormat="1" applyFont="1" applyFill="1" applyBorder="1" applyAlignment="1">
      <alignment horizontal="center" vertical="center"/>
    </xf>
    <xf numFmtId="174" fontId="29" fillId="17" borderId="9" xfId="0" applyNumberFormat="1" applyFont="1" applyFill="1" applyBorder="1" applyAlignment="1">
      <alignment horizontal="center" vertical="center"/>
    </xf>
    <xf numFmtId="4" fontId="29" fillId="17" borderId="9" xfId="0" applyNumberFormat="1" applyFont="1" applyFill="1" applyBorder="1" applyAlignment="1">
      <alignment horizontal="center" vertical="center"/>
    </xf>
    <xf numFmtId="0" fontId="90" fillId="0" borderId="50" xfId="0" applyFont="1" applyBorder="1" applyAlignment="1">
      <alignment horizontal="center" vertical="center"/>
    </xf>
    <xf numFmtId="3" fontId="90" fillId="0" borderId="27" xfId="0" applyNumberFormat="1" applyFont="1" applyBorder="1" applyAlignment="1">
      <alignment horizontal="center" vertical="center"/>
    </xf>
    <xf numFmtId="10" fontId="90" fillId="0" borderId="27" xfId="0" applyNumberFormat="1" applyFont="1" applyBorder="1" applyAlignment="1">
      <alignment horizontal="center" vertical="center"/>
    </xf>
    <xf numFmtId="4" fontId="90" fillId="36" borderId="51" xfId="0" applyNumberFormat="1" applyFont="1" applyFill="1" applyBorder="1" applyAlignment="1">
      <alignment horizontal="center" vertical="center"/>
    </xf>
    <xf numFmtId="4" fontId="90" fillId="36" borderId="49" xfId="0" applyNumberFormat="1" applyFont="1" applyFill="1" applyBorder="1" applyAlignment="1">
      <alignment horizontal="center" vertical="center"/>
    </xf>
    <xf numFmtId="4" fontId="90" fillId="0" borderId="50" xfId="0" applyNumberFormat="1" applyFont="1" applyBorder="1" applyAlignment="1">
      <alignment horizontal="center" vertical="center"/>
    </xf>
    <xf numFmtId="0" fontId="29" fillId="30" borderId="0" xfId="0" applyFont="1" applyFill="1" applyAlignment="1">
      <alignment vertical="center"/>
    </xf>
    <xf numFmtId="0" fontId="29" fillId="30" borderId="0" xfId="0" applyFont="1" applyFill="1" applyAlignment="1">
      <alignment horizontal="center" vertical="center"/>
    </xf>
    <xf numFmtId="167" fontId="29" fillId="0" borderId="9" xfId="0" applyNumberFormat="1" applyFont="1" applyBorder="1" applyAlignment="1">
      <alignment horizontal="center" vertical="center"/>
    </xf>
    <xf numFmtId="0" fontId="90" fillId="36" borderId="18" xfId="0" applyFont="1" applyFill="1" applyBorder="1" applyAlignment="1">
      <alignment vertical="center"/>
    </xf>
    <xf numFmtId="0" fontId="90" fillId="36" borderId="51" xfId="0" applyFont="1" applyFill="1" applyBorder="1" applyAlignment="1">
      <alignment vertical="center"/>
    </xf>
    <xf numFmtId="0" fontId="90" fillId="36" borderId="49" xfId="0" applyFont="1" applyFill="1" applyBorder="1" applyAlignment="1">
      <alignment vertical="center"/>
    </xf>
    <xf numFmtId="0" fontId="90" fillId="0" borderId="27" xfId="0" applyFont="1" applyBorder="1" applyAlignment="1">
      <alignment vertical="center"/>
    </xf>
    <xf numFmtId="0" fontId="90" fillId="0" borderId="50" xfId="0" applyFont="1" applyBorder="1" applyAlignment="1">
      <alignment vertical="center"/>
    </xf>
    <xf numFmtId="0" fontId="90" fillId="0" borderId="9" xfId="0" applyFont="1" applyBorder="1" applyAlignment="1">
      <alignment vertical="center"/>
    </xf>
    <xf numFmtId="3" fontId="29" fillId="0" borderId="9" xfId="0" applyNumberFormat="1" applyFont="1" applyBorder="1" applyAlignment="1">
      <alignment horizontal="center" vertical="center"/>
    </xf>
    <xf numFmtId="165" fontId="29" fillId="0" borderId="9" xfId="0" applyNumberFormat="1" applyFont="1" applyBorder="1" applyAlignment="1">
      <alignment horizontal="center" vertical="center"/>
    </xf>
    <xf numFmtId="3" fontId="29" fillId="17" borderId="9" xfId="0" quotePrefix="1" applyNumberFormat="1" applyFont="1" applyFill="1" applyBorder="1" applyAlignment="1">
      <alignment horizontal="center" vertical="center"/>
    </xf>
    <xf numFmtId="4" fontId="29" fillId="17" borderId="9" xfId="0" quotePrefix="1" applyNumberFormat="1" applyFont="1" applyFill="1" applyBorder="1" applyAlignment="1">
      <alignment horizontal="center" vertical="center"/>
    </xf>
    <xf numFmtId="3" fontId="46" fillId="16" borderId="9" xfId="0" applyNumberFormat="1" applyFont="1" applyFill="1" applyBorder="1" applyAlignment="1">
      <alignment horizontal="center" vertical="center"/>
    </xf>
    <xf numFmtId="3" fontId="45" fillId="16" borderId="9" xfId="0" applyNumberFormat="1" applyFont="1" applyFill="1" applyBorder="1" applyAlignment="1">
      <alignment horizontal="center" vertical="center"/>
    </xf>
    <xf numFmtId="3" fontId="45" fillId="16" borderId="9" xfId="0" applyNumberFormat="1" applyFont="1" applyFill="1" applyBorder="1" applyAlignment="1">
      <alignment horizontal="center" vertical="center" wrapText="1"/>
    </xf>
    <xf numFmtId="3" fontId="46" fillId="16" borderId="9" xfId="0" applyNumberFormat="1" applyFont="1" applyFill="1" applyBorder="1" applyAlignment="1">
      <alignment horizontal="center" vertical="center" wrapText="1"/>
    </xf>
    <xf numFmtId="0" fontId="38" fillId="13" borderId="9" xfId="0" applyFont="1" applyFill="1" applyBorder="1" applyAlignment="1">
      <alignment horizontal="center" vertical="center"/>
    </xf>
    <xf numFmtId="0" fontId="38" fillId="17" borderId="9" xfId="46" applyFont="1" applyFill="1" applyBorder="1" applyAlignment="1">
      <alignment horizontal="center" vertical="center"/>
    </xf>
    <xf numFmtId="0" fontId="38" fillId="0" borderId="0" xfId="0" applyFont="1" applyFill="1" applyAlignment="1">
      <alignment vertical="center"/>
    </xf>
    <xf numFmtId="0" fontId="53" fillId="17" borderId="0" xfId="0" applyFont="1" applyFill="1" applyAlignment="1">
      <alignment vertical="center"/>
    </xf>
    <xf numFmtId="0" fontId="41" fillId="14" borderId="9" xfId="0" applyFont="1" applyFill="1" applyBorder="1" applyAlignment="1">
      <alignment horizontal="center" vertical="center"/>
    </xf>
    <xf numFmtId="3" fontId="41" fillId="13" borderId="9" xfId="0" applyNumberFormat="1" applyFont="1" applyFill="1" applyBorder="1" applyAlignment="1">
      <alignment horizontal="center" vertical="center" wrapText="1"/>
    </xf>
    <xf numFmtId="3" fontId="28" fillId="17" borderId="9" xfId="0" applyNumberFormat="1" applyFont="1" applyFill="1" applyBorder="1" applyAlignment="1">
      <alignment horizontal="center" vertical="center"/>
    </xf>
    <xf numFmtId="3" fontId="2" fillId="17" borderId="27" xfId="0" applyNumberFormat="1" applyFont="1" applyFill="1" applyBorder="1" applyAlignment="1">
      <alignment horizontal="center" vertical="center"/>
    </xf>
    <xf numFmtId="1" fontId="29" fillId="12" borderId="0" xfId="0" applyNumberFormat="1" applyFont="1" applyFill="1" applyAlignment="1">
      <alignment vertical="center"/>
    </xf>
    <xf numFmtId="0" fontId="41" fillId="14" borderId="9" xfId="0" applyFont="1" applyFill="1" applyBorder="1" applyAlignment="1">
      <alignment vertical="center"/>
    </xf>
    <xf numFmtId="0" fontId="87" fillId="0" borderId="9" xfId="43" applyFont="1" applyBorder="1" applyAlignment="1">
      <alignment horizontal="center" vertical="center"/>
    </xf>
    <xf numFmtId="3" fontId="38" fillId="0" borderId="9" xfId="43" applyNumberFormat="1" applyFont="1" applyBorder="1" applyAlignment="1">
      <alignment horizontal="center" vertical="center"/>
    </xf>
    <xf numFmtId="167" fontId="29" fillId="12" borderId="0" xfId="0" applyNumberFormat="1" applyFont="1" applyFill="1" applyAlignment="1">
      <alignment horizontal="center" vertical="center"/>
    </xf>
    <xf numFmtId="0" fontId="40" fillId="14" borderId="9" xfId="46" applyFont="1" applyFill="1" applyBorder="1" applyAlignment="1">
      <alignment horizontal="center" vertical="center" wrapText="1"/>
    </xf>
    <xf numFmtId="0" fontId="38" fillId="0" borderId="9" xfId="46" applyFont="1" applyFill="1" applyBorder="1" applyAlignment="1">
      <alignment vertical="center"/>
    </xf>
    <xf numFmtId="167" fontId="38" fillId="0" borderId="50" xfId="46" applyNumberFormat="1" applyFont="1" applyFill="1" applyBorder="1" applyAlignment="1">
      <alignment horizontal="center" vertical="center"/>
    </xf>
    <xf numFmtId="0" fontId="40" fillId="14" borderId="50" xfId="46" applyFont="1" applyFill="1" applyBorder="1" applyAlignment="1">
      <alignment vertical="center"/>
    </xf>
    <xf numFmtId="167" fontId="38" fillId="0" borderId="9" xfId="46" applyNumberFormat="1" applyFont="1" applyFill="1" applyBorder="1" applyAlignment="1">
      <alignment horizontal="center" vertical="center"/>
    </xf>
    <xf numFmtId="9" fontId="38" fillId="0" borderId="9" xfId="30" quotePrefix="1" applyFont="1" applyFill="1" applyBorder="1" applyAlignment="1">
      <alignment horizontal="center" vertical="center"/>
    </xf>
    <xf numFmtId="0" fontId="40" fillId="14" borderId="9" xfId="46" applyFont="1" applyFill="1" applyBorder="1" applyAlignment="1">
      <alignment vertical="center"/>
    </xf>
    <xf numFmtId="0" fontId="40" fillId="17" borderId="37" xfId="46" applyFont="1" applyFill="1" applyBorder="1" applyAlignment="1">
      <alignment horizontal="center" vertical="center" wrapText="1"/>
    </xf>
    <xf numFmtId="0" fontId="40" fillId="17" borderId="0" xfId="46" applyFont="1" applyFill="1" applyBorder="1" applyAlignment="1">
      <alignment horizontal="center" vertical="center" wrapText="1"/>
    </xf>
    <xf numFmtId="0" fontId="38" fillId="0" borderId="9" xfId="46" applyFont="1" applyBorder="1" applyAlignment="1">
      <alignment vertical="center"/>
    </xf>
    <xf numFmtId="3" fontId="38" fillId="0" borderId="9" xfId="46" applyNumberFormat="1" applyFont="1" applyBorder="1" applyAlignment="1">
      <alignment horizontal="center" vertical="center"/>
    </xf>
    <xf numFmtId="3" fontId="38" fillId="0" borderId="18" xfId="46" applyNumberFormat="1" applyFont="1" applyBorder="1" applyAlignment="1">
      <alignment horizontal="center" vertical="center"/>
    </xf>
    <xf numFmtId="9" fontId="38" fillId="17" borderId="37" xfId="46" applyNumberFormat="1" applyFont="1" applyFill="1" applyBorder="1" applyAlignment="1">
      <alignment horizontal="center" vertical="center"/>
    </xf>
    <xf numFmtId="167" fontId="38" fillId="17" borderId="0" xfId="46" applyNumberFormat="1" applyFont="1" applyFill="1" applyBorder="1" applyAlignment="1">
      <alignment horizontal="center" vertical="center"/>
    </xf>
    <xf numFmtId="9" fontId="38" fillId="17" borderId="0" xfId="46" applyNumberFormat="1" applyFont="1" applyFill="1" applyBorder="1" applyAlignment="1">
      <alignment horizontal="center" vertical="center"/>
    </xf>
    <xf numFmtId="9" fontId="38" fillId="17" borderId="0" xfId="46" applyNumberFormat="1" applyFont="1" applyFill="1" applyBorder="1" applyAlignment="1">
      <alignment vertical="center"/>
    </xf>
    <xf numFmtId="167" fontId="38" fillId="17" borderId="37" xfId="46" quotePrefix="1" applyNumberFormat="1" applyFont="1" applyFill="1" applyBorder="1" applyAlignment="1">
      <alignment horizontal="center" vertical="center"/>
    </xf>
    <xf numFmtId="167" fontId="38" fillId="17" borderId="0" xfId="46" quotePrefix="1" applyNumberFormat="1" applyFont="1" applyFill="1" applyBorder="1" applyAlignment="1">
      <alignment horizontal="center" vertical="center"/>
    </xf>
    <xf numFmtId="0" fontId="40" fillId="0" borderId="9" xfId="46" applyFont="1" applyBorder="1" applyAlignment="1">
      <alignment vertical="center"/>
    </xf>
    <xf numFmtId="3" fontId="40" fillId="0" borderId="9" xfId="46" applyNumberFormat="1" applyFont="1" applyBorder="1" applyAlignment="1">
      <alignment horizontal="center" vertical="center"/>
    </xf>
    <xf numFmtId="9" fontId="40" fillId="17" borderId="0" xfId="46" applyNumberFormat="1" applyFont="1" applyFill="1" applyBorder="1" applyAlignment="1">
      <alignment horizontal="center" vertical="center"/>
    </xf>
    <xf numFmtId="167" fontId="40" fillId="17" borderId="0" xfId="46" applyNumberFormat="1" applyFont="1" applyFill="1" applyBorder="1" applyAlignment="1">
      <alignment horizontal="center" vertical="center"/>
    </xf>
    <xf numFmtId="9" fontId="40" fillId="17" borderId="0" xfId="46" applyNumberFormat="1" applyFont="1" applyFill="1" applyBorder="1" applyAlignment="1">
      <alignment vertical="center"/>
    </xf>
    <xf numFmtId="9" fontId="29" fillId="19" borderId="9" xfId="30" applyNumberFormat="1" applyFont="1" applyFill="1" applyBorder="1" applyAlignment="1">
      <alignment horizontal="center" vertical="center"/>
    </xf>
    <xf numFmtId="9" fontId="29" fillId="15" borderId="9" xfId="30" applyNumberFormat="1" applyFont="1" applyFill="1" applyBorder="1" applyAlignment="1">
      <alignment horizontal="center" vertical="center"/>
    </xf>
    <xf numFmtId="9" fontId="29" fillId="20" borderId="9" xfId="30" applyNumberFormat="1" applyFont="1" applyFill="1" applyBorder="1" applyAlignment="1">
      <alignment horizontal="center" vertical="center"/>
    </xf>
    <xf numFmtId="3" fontId="44" fillId="17" borderId="9" xfId="0" applyNumberFormat="1" applyFont="1" applyFill="1" applyBorder="1" applyAlignment="1">
      <alignment horizontal="center" vertical="center"/>
    </xf>
    <xf numFmtId="9" fontId="29" fillId="21" borderId="9" xfId="30" applyNumberFormat="1" applyFont="1" applyFill="1" applyBorder="1" applyAlignment="1">
      <alignment horizontal="center" vertical="center"/>
    </xf>
    <xf numFmtId="9" fontId="29" fillId="22" borderId="9" xfId="30" applyNumberFormat="1" applyFont="1" applyFill="1" applyBorder="1" applyAlignment="1">
      <alignment horizontal="center" vertical="center"/>
    </xf>
    <xf numFmtId="0" fontId="40" fillId="14" borderId="9" xfId="46" applyFont="1" applyFill="1" applyBorder="1" applyAlignment="1">
      <alignment horizontal="center" vertical="center"/>
    </xf>
    <xf numFmtId="0" fontId="38" fillId="0" borderId="27" xfId="46" applyFont="1" applyBorder="1" applyAlignment="1">
      <alignment vertical="center"/>
    </xf>
    <xf numFmtId="3" fontId="29" fillId="17" borderId="27" xfId="0" applyNumberFormat="1" applyFont="1" applyFill="1" applyBorder="1" applyAlignment="1">
      <alignment horizontal="center" vertical="center"/>
    </xf>
    <xf numFmtId="0" fontId="38" fillId="17" borderId="0" xfId="46" applyFont="1" applyFill="1" applyBorder="1" applyAlignment="1">
      <alignment vertical="center"/>
    </xf>
    <xf numFmtId="0" fontId="40" fillId="14" borderId="50" xfId="46" applyFont="1" applyFill="1" applyBorder="1" applyAlignment="1">
      <alignment horizontal="center" vertical="center" wrapText="1"/>
    </xf>
    <xf numFmtId="3" fontId="41" fillId="17" borderId="50" xfId="0" applyNumberFormat="1" applyFont="1" applyFill="1" applyBorder="1" applyAlignment="1">
      <alignment horizontal="center" vertical="center"/>
    </xf>
    <xf numFmtId="0" fontId="38" fillId="0" borderId="9" xfId="46" applyFont="1" applyBorder="1" applyAlignment="1">
      <alignment horizontal="center" vertical="center"/>
    </xf>
    <xf numFmtId="0" fontId="46" fillId="16" borderId="9" xfId="0" applyFont="1" applyFill="1" applyBorder="1" applyAlignment="1">
      <alignment horizontal="center" vertical="center" wrapText="1"/>
    </xf>
    <xf numFmtId="0" fontId="46" fillId="16" borderId="9" xfId="43" applyFont="1" applyFill="1" applyBorder="1" applyAlignment="1">
      <alignment horizontal="center" vertical="center"/>
    </xf>
    <xf numFmtId="0" fontId="46" fillId="16" borderId="50" xfId="46" applyFont="1" applyFill="1" applyBorder="1" applyAlignment="1">
      <alignment horizontal="center" vertical="center"/>
    </xf>
    <xf numFmtId="0" fontId="46" fillId="16" borderId="18" xfId="46" applyFont="1" applyFill="1" applyBorder="1" applyAlignment="1">
      <alignment horizontal="center" vertical="center" wrapText="1"/>
    </xf>
    <xf numFmtId="0" fontId="46" fillId="16" borderId="9" xfId="0" applyFont="1" applyFill="1" applyBorder="1" applyAlignment="1">
      <alignment horizontal="center" vertical="center" wrapText="1"/>
    </xf>
    <xf numFmtId="0" fontId="69" fillId="17" borderId="0" xfId="46" applyFont="1" applyFill="1" applyBorder="1" applyAlignment="1">
      <alignment vertical="center"/>
    </xf>
    <xf numFmtId="0" fontId="46" fillId="32" borderId="0" xfId="42" applyFont="1" applyFill="1" applyAlignment="1">
      <alignment horizontal="left" vertical="center"/>
    </xf>
    <xf numFmtId="0" fontId="41" fillId="17" borderId="9" xfId="42" applyFont="1" applyFill="1" applyBorder="1" applyAlignment="1">
      <alignment vertical="center"/>
    </xf>
    <xf numFmtId="165" fontId="41" fillId="17" borderId="9" xfId="0" applyNumberFormat="1" applyFont="1" applyFill="1" applyBorder="1" applyAlignment="1">
      <alignment horizontal="center" vertical="center"/>
    </xf>
    <xf numFmtId="0" fontId="41" fillId="17" borderId="9" xfId="42" applyFont="1" applyFill="1" applyBorder="1" applyAlignment="1">
      <alignment horizontal="center" vertical="center" wrapText="1"/>
    </xf>
    <xf numFmtId="0" fontId="29" fillId="32" borderId="0" xfId="42" applyFont="1" applyFill="1" applyAlignment="1">
      <alignment vertical="center"/>
    </xf>
    <xf numFmtId="0" fontId="29" fillId="33" borderId="0" xfId="42" applyFont="1" applyFill="1" applyAlignment="1">
      <alignment vertical="center"/>
    </xf>
    <xf numFmtId="0" fontId="29" fillId="17" borderId="0" xfId="42" applyFont="1" applyFill="1" applyAlignment="1">
      <alignment vertical="center"/>
    </xf>
    <xf numFmtId="0" fontId="29" fillId="17" borderId="0" xfId="42" applyFont="1" applyFill="1" applyBorder="1" applyAlignment="1">
      <alignment vertical="center"/>
    </xf>
    <xf numFmtId="0" fontId="29" fillId="17" borderId="0" xfId="42" applyFont="1" applyFill="1" applyBorder="1" applyAlignment="1">
      <alignment vertical="center" wrapText="1"/>
    </xf>
    <xf numFmtId="165" fontId="29" fillId="17" borderId="9" xfId="42" applyNumberFormat="1" applyFont="1" applyFill="1" applyBorder="1" applyAlignment="1">
      <alignment horizontal="center" vertical="center"/>
    </xf>
    <xf numFmtId="0" fontId="41" fillId="17" borderId="9" xfId="42" applyFont="1" applyFill="1" applyBorder="1" applyAlignment="1">
      <alignment vertical="center" wrapText="1"/>
    </xf>
    <xf numFmtId="165" fontId="41" fillId="17" borderId="9" xfId="42" applyNumberFormat="1" applyFont="1" applyFill="1" applyBorder="1" applyAlignment="1">
      <alignment horizontal="center" vertical="center"/>
    </xf>
    <xf numFmtId="0" fontId="41" fillId="17" borderId="0" xfId="42" applyFont="1" applyFill="1" applyBorder="1" applyAlignment="1">
      <alignment vertical="center" wrapText="1"/>
    </xf>
    <xf numFmtId="0" fontId="41" fillId="17" borderId="0" xfId="42" applyFont="1" applyFill="1" applyAlignment="1">
      <alignment vertical="center"/>
    </xf>
    <xf numFmtId="0" fontId="44" fillId="17" borderId="0" xfId="42" applyFont="1" applyFill="1" applyAlignment="1">
      <alignment vertical="center"/>
    </xf>
    <xf numFmtId="0" fontId="29" fillId="17" borderId="9" xfId="42" applyFont="1" applyFill="1" applyBorder="1" applyAlignment="1">
      <alignment vertical="center"/>
    </xf>
    <xf numFmtId="0" fontId="29" fillId="17" borderId="9" xfId="42" applyFont="1" applyFill="1" applyBorder="1" applyAlignment="1">
      <alignment vertical="center" wrapText="1"/>
    </xf>
    <xf numFmtId="0" fontId="41" fillId="17" borderId="9" xfId="42" applyFont="1" applyFill="1" applyBorder="1" applyAlignment="1">
      <alignment horizontal="center" vertical="center"/>
    </xf>
    <xf numFmtId="0" fontId="29" fillId="17" borderId="0" xfId="42" applyFont="1" applyFill="1" applyAlignment="1">
      <alignment vertical="center" wrapText="1"/>
    </xf>
    <xf numFmtId="164" fontId="41" fillId="17" borderId="0" xfId="41" applyFont="1" applyFill="1" applyAlignment="1">
      <alignment vertical="center"/>
    </xf>
    <xf numFmtId="0" fontId="46" fillId="31" borderId="0" xfId="0" applyFont="1" applyFill="1" applyBorder="1" applyAlignment="1">
      <alignment vertical="center"/>
    </xf>
    <xf numFmtId="3" fontId="41" fillId="23" borderId="9" xfId="0" applyNumberFormat="1" applyFont="1" applyFill="1" applyBorder="1" applyAlignment="1">
      <alignment horizontal="center" vertical="center"/>
    </xf>
    <xf numFmtId="9" fontId="38" fillId="0" borderId="9" xfId="44" applyFont="1" applyFill="1" applyBorder="1" applyAlignment="1">
      <alignment horizontal="center" vertical="center"/>
    </xf>
    <xf numFmtId="9" fontId="38" fillId="0" borderId="9" xfId="46" applyNumberFormat="1" applyFont="1" applyFill="1" applyBorder="1" applyAlignment="1">
      <alignment horizontal="center" vertical="center"/>
    </xf>
    <xf numFmtId="0" fontId="48" fillId="17" borderId="9" xfId="0" applyFont="1" applyFill="1" applyBorder="1" applyAlignment="1">
      <alignment horizontal="right" vertical="center" wrapText="1"/>
    </xf>
    <xf numFmtId="0" fontId="48" fillId="17" borderId="9" xfId="0" applyFont="1" applyFill="1" applyBorder="1" applyAlignment="1">
      <alignment horizontal="right" vertical="center"/>
    </xf>
    <xf numFmtId="9" fontId="46" fillId="24" borderId="9" xfId="30" applyNumberFormat="1" applyFont="1" applyFill="1" applyBorder="1" applyAlignment="1">
      <alignment horizontal="center" vertical="center"/>
    </xf>
    <xf numFmtId="0" fontId="41" fillId="17" borderId="0" xfId="0" applyFont="1" applyFill="1" applyBorder="1" applyAlignment="1">
      <alignment horizontal="center" vertical="center" wrapText="1"/>
    </xf>
    <xf numFmtId="9" fontId="41" fillId="17" borderId="0" xfId="0" applyNumberFormat="1" applyFont="1" applyFill="1" applyBorder="1" applyAlignment="1">
      <alignment horizontal="center" vertical="center" wrapText="1"/>
    </xf>
    <xf numFmtId="0" fontId="41" fillId="17" borderId="9" xfId="0" applyFont="1" applyFill="1" applyBorder="1" applyAlignment="1">
      <alignment horizontal="center" vertical="center" wrapText="1"/>
    </xf>
    <xf numFmtId="0" fontId="29" fillId="17" borderId="9" xfId="0" applyFont="1" applyFill="1" applyBorder="1" applyAlignment="1">
      <alignment horizontal="right" vertical="center" wrapText="1"/>
    </xf>
    <xf numFmtId="0" fontId="2" fillId="30" borderId="0" xfId="0" applyFont="1" applyFill="1" applyAlignment="1">
      <alignment horizontal="center" vertical="center"/>
    </xf>
    <xf numFmtId="0" fontId="2" fillId="30" borderId="0" xfId="0" applyFont="1" applyFill="1" applyAlignment="1">
      <alignment vertical="center"/>
    </xf>
    <xf numFmtId="0" fontId="29" fillId="12" borderId="0" xfId="0" applyFont="1" applyFill="1" applyAlignment="1">
      <alignment horizontal="left" vertical="center"/>
    </xf>
    <xf numFmtId="0" fontId="38" fillId="0" borderId="0" xfId="46" applyFont="1" applyAlignment="1">
      <alignment vertical="center"/>
    </xf>
    <xf numFmtId="0" fontId="69" fillId="17" borderId="0" xfId="46" applyFont="1" applyFill="1" applyAlignment="1">
      <alignment vertical="center"/>
    </xf>
    <xf numFmtId="0" fontId="38" fillId="17" borderId="0" xfId="46" applyFont="1" applyFill="1" applyAlignment="1">
      <alignment vertical="center"/>
    </xf>
    <xf numFmtId="0" fontId="38" fillId="17" borderId="37" xfId="46" applyFont="1" applyFill="1" applyBorder="1" applyAlignment="1">
      <alignment horizontal="center" vertical="center"/>
    </xf>
    <xf numFmtId="0" fontId="38" fillId="17" borderId="0" xfId="46" applyFont="1" applyFill="1" applyBorder="1" applyAlignment="1">
      <alignment horizontal="center" vertical="center"/>
    </xf>
    <xf numFmtId="9" fontId="29" fillId="21" borderId="9" xfId="30" applyFont="1" applyFill="1" applyBorder="1" applyAlignment="1">
      <alignment horizontal="center" vertical="center"/>
    </xf>
    <xf numFmtId="9" fontId="29" fillId="22" borderId="9" xfId="30" applyFont="1" applyFill="1" applyBorder="1" applyAlignment="1">
      <alignment horizontal="center" vertical="center"/>
    </xf>
    <xf numFmtId="9" fontId="29" fillId="22" borderId="27" xfId="30" applyFont="1" applyFill="1" applyBorder="1" applyAlignment="1">
      <alignment horizontal="center" vertical="center"/>
    </xf>
    <xf numFmtId="0" fontId="29" fillId="0" borderId="27" xfId="0" applyFont="1" applyFill="1" applyBorder="1" applyAlignment="1">
      <alignment horizontal="center" vertical="center"/>
    </xf>
    <xf numFmtId="3" fontId="29" fillId="17" borderId="0" xfId="0" applyNumberFormat="1" applyFont="1" applyFill="1" applyBorder="1" applyAlignment="1">
      <alignment vertical="center"/>
    </xf>
    <xf numFmtId="0" fontId="29" fillId="17" borderId="0" xfId="0" applyFont="1" applyFill="1" applyBorder="1" applyAlignment="1">
      <alignment horizontal="center" vertical="center"/>
    </xf>
    <xf numFmtId="165" fontId="41" fillId="14" borderId="9" xfId="0" applyNumberFormat="1" applyFont="1" applyFill="1" applyBorder="1" applyAlignment="1">
      <alignment vertical="center"/>
    </xf>
    <xf numFmtId="0" fontId="41" fillId="17" borderId="0" xfId="0" applyFont="1" applyFill="1" applyBorder="1" applyAlignment="1">
      <alignment vertical="center"/>
    </xf>
    <xf numFmtId="165" fontId="41" fillId="17" borderId="0" xfId="0" applyNumberFormat="1" applyFont="1" applyFill="1" applyBorder="1" applyAlignment="1">
      <alignment vertical="center"/>
    </xf>
    <xf numFmtId="0" fontId="29" fillId="17" borderId="37" xfId="0" applyFont="1" applyFill="1" applyBorder="1" applyAlignment="1">
      <alignment vertical="center"/>
    </xf>
    <xf numFmtId="0" fontId="95" fillId="24" borderId="0" xfId="47" applyFont="1" applyFill="1"/>
    <xf numFmtId="0" fontId="2" fillId="17" borderId="0" xfId="0" applyFont="1" applyFill="1"/>
    <xf numFmtId="0" fontId="29" fillId="0" borderId="9" xfId="0" applyFont="1" applyBorder="1" applyAlignment="1">
      <alignment horizontal="right" vertical="center" wrapText="1"/>
    </xf>
    <xf numFmtId="0" fontId="40" fillId="15" borderId="9" xfId="0" applyFont="1" applyFill="1" applyBorder="1" applyAlignment="1">
      <alignment horizontal="center" vertical="center" wrapText="1"/>
    </xf>
    <xf numFmtId="3" fontId="40" fillId="15" borderId="9" xfId="0" applyNumberFormat="1" applyFont="1" applyFill="1" applyBorder="1" applyAlignment="1">
      <alignment horizontal="center" vertical="center" wrapText="1"/>
    </xf>
    <xf numFmtId="9" fontId="38" fillId="15" borderId="9" xfId="30" applyNumberFormat="1" applyFont="1" applyFill="1" applyBorder="1" applyAlignment="1">
      <alignment horizontal="center" vertical="center"/>
    </xf>
    <xf numFmtId="0" fontId="46" fillId="16" borderId="9" xfId="0" applyFont="1" applyFill="1" applyBorder="1" applyAlignment="1">
      <alignment horizontal="center" vertical="center"/>
    </xf>
    <xf numFmtId="0" fontId="29" fillId="17" borderId="9" xfId="42" applyFont="1" applyFill="1" applyBorder="1" applyAlignment="1">
      <alignment horizontal="center" vertical="center" wrapText="1"/>
    </xf>
    <xf numFmtId="0" fontId="53" fillId="17" borderId="0" xfId="0" applyFont="1" applyFill="1" applyAlignment="1">
      <alignment horizontal="left" vertical="center"/>
    </xf>
    <xf numFmtId="0" fontId="28" fillId="0" borderId="9" xfId="0" applyFont="1" applyFill="1" applyBorder="1" applyAlignment="1">
      <alignment horizontal="left" vertical="center"/>
    </xf>
    <xf numFmtId="0" fontId="2" fillId="0" borderId="0" xfId="0" applyFont="1" applyFill="1" applyAlignment="1">
      <alignment vertical="center"/>
    </xf>
    <xf numFmtId="0" fontId="53" fillId="0" borderId="0" xfId="0" applyFont="1" applyFill="1" applyAlignment="1">
      <alignment horizontal="left" vertical="center"/>
    </xf>
    <xf numFmtId="0" fontId="28" fillId="0" borderId="9" xfId="0" applyFont="1" applyFill="1" applyBorder="1" applyAlignment="1">
      <alignment horizontal="center" vertical="center"/>
    </xf>
    <xf numFmtId="1" fontId="2" fillId="13" borderId="9" xfId="0" applyNumberFormat="1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left" vertical="center"/>
    </xf>
    <xf numFmtId="0" fontId="29" fillId="17" borderId="9" xfId="0" applyFont="1" applyFill="1" applyBorder="1" applyAlignment="1">
      <alignment horizontal="right" vertical="center" wrapText="1"/>
    </xf>
    <xf numFmtId="0" fontId="29" fillId="17" borderId="18" xfId="42" applyFont="1" applyFill="1" applyBorder="1" applyAlignment="1">
      <alignment horizontal="center" vertical="center" wrapText="1"/>
    </xf>
    <xf numFmtId="0" fontId="38" fillId="33" borderId="0" xfId="42" applyFont="1" applyFill="1" applyAlignment="1">
      <alignment horizontal="left" vertical="center"/>
    </xf>
    <xf numFmtId="165" fontId="29" fillId="17" borderId="0" xfId="42" applyNumberFormat="1" applyFont="1" applyFill="1" applyBorder="1" applyAlignment="1">
      <alignment horizontal="center" vertical="center"/>
    </xf>
    <xf numFmtId="165" fontId="41" fillId="17" borderId="0" xfId="42" applyNumberFormat="1" applyFont="1" applyFill="1" applyBorder="1" applyAlignment="1">
      <alignment horizontal="center" vertical="center"/>
    </xf>
    <xf numFmtId="0" fontId="29" fillId="17" borderId="9" xfId="42" applyFont="1" applyFill="1" applyBorder="1" applyAlignment="1">
      <alignment horizontal="center" vertical="center"/>
    </xf>
    <xf numFmtId="1" fontId="41" fillId="17" borderId="9" xfId="42" applyNumberFormat="1" applyFont="1" applyFill="1" applyBorder="1" applyAlignment="1">
      <alignment horizontal="center" vertical="center"/>
    </xf>
    <xf numFmtId="1" fontId="29" fillId="17" borderId="9" xfId="42" applyNumberFormat="1" applyFont="1" applyFill="1" applyBorder="1" applyAlignment="1">
      <alignment horizontal="center" vertical="center"/>
    </xf>
    <xf numFmtId="9" fontId="29" fillId="17" borderId="9" xfId="30" applyFont="1" applyFill="1" applyBorder="1" applyAlignment="1">
      <alignment horizontal="center" vertical="center"/>
    </xf>
    <xf numFmtId="0" fontId="29" fillId="17" borderId="0" xfId="42" applyFont="1" applyFill="1" applyAlignment="1">
      <alignment horizontal="center" vertical="center"/>
    </xf>
    <xf numFmtId="3" fontId="41" fillId="17" borderId="9" xfId="42" applyNumberFormat="1" applyFont="1" applyFill="1" applyBorder="1" applyAlignment="1">
      <alignment horizontal="center" vertical="center"/>
    </xf>
    <xf numFmtId="3" fontId="29" fillId="17" borderId="9" xfId="41" applyNumberFormat="1" applyFont="1" applyFill="1" applyBorder="1" applyAlignment="1">
      <alignment horizontal="center" vertical="center"/>
    </xf>
    <xf numFmtId="3" fontId="29" fillId="17" borderId="9" xfId="42" applyNumberFormat="1" applyFont="1" applyFill="1" applyBorder="1" applyAlignment="1">
      <alignment horizontal="center" vertical="center"/>
    </xf>
    <xf numFmtId="168" fontId="29" fillId="17" borderId="9" xfId="42" applyNumberFormat="1" applyFont="1" applyFill="1" applyBorder="1" applyAlignment="1">
      <alignment horizontal="center" vertical="center" wrapText="1"/>
    </xf>
    <xf numFmtId="37" fontId="41" fillId="17" borderId="9" xfId="41" applyNumberFormat="1" applyFont="1" applyFill="1" applyBorder="1" applyAlignment="1">
      <alignment horizontal="center" vertical="center"/>
    </xf>
    <xf numFmtId="37" fontId="29" fillId="17" borderId="9" xfId="41" applyNumberFormat="1" applyFont="1" applyFill="1" applyBorder="1" applyAlignment="1">
      <alignment horizontal="center" vertical="center"/>
    </xf>
    <xf numFmtId="0" fontId="2" fillId="0" borderId="49" xfId="0" applyFont="1" applyFill="1" applyBorder="1" applyAlignment="1">
      <alignment horizontal="center" vertical="center"/>
    </xf>
    <xf numFmtId="0" fontId="29" fillId="37" borderId="0" xfId="0" applyFont="1" applyFill="1" applyAlignment="1">
      <alignment vertical="center"/>
    </xf>
    <xf numFmtId="0" fontId="41" fillId="37" borderId="0" xfId="0" applyFont="1" applyFill="1" applyAlignment="1">
      <alignment horizontal="center" vertical="center"/>
    </xf>
    <xf numFmtId="0" fontId="41" fillId="37" borderId="0" xfId="0" applyFont="1" applyFill="1" applyAlignment="1">
      <alignment vertical="center"/>
    </xf>
    <xf numFmtId="0" fontId="29" fillId="12" borderId="0" xfId="0" applyFont="1" applyFill="1" applyAlignment="1">
      <alignment vertical="center" wrapText="1"/>
    </xf>
    <xf numFmtId="0" fontId="29" fillId="0" borderId="0" xfId="0" applyFont="1" applyAlignment="1">
      <alignment vertical="center" wrapText="1"/>
    </xf>
    <xf numFmtId="0" fontId="29" fillId="17" borderId="9" xfId="0" applyFont="1" applyFill="1" applyBorder="1" applyAlignment="1">
      <alignment horizontal="right" vertical="center"/>
    </xf>
    <xf numFmtId="0" fontId="38" fillId="17" borderId="9" xfId="46" applyFont="1" applyFill="1" applyBorder="1" applyAlignment="1">
      <alignment horizontal="right" vertical="center"/>
    </xf>
    <xf numFmtId="3" fontId="29" fillId="12" borderId="9" xfId="0" applyNumberFormat="1" applyFont="1" applyFill="1" applyBorder="1" applyAlignment="1">
      <alignment horizontal="center" vertical="center"/>
    </xf>
    <xf numFmtId="4" fontId="29" fillId="12" borderId="9" xfId="0" applyNumberFormat="1" applyFont="1" applyFill="1" applyBorder="1" applyAlignment="1">
      <alignment horizontal="center" vertical="center"/>
    </xf>
    <xf numFmtId="0" fontId="29" fillId="12" borderId="9" xfId="0" applyFont="1" applyFill="1" applyBorder="1" applyAlignment="1">
      <alignment horizontal="right" vertical="center" wrapText="1"/>
    </xf>
    <xf numFmtId="0" fontId="46" fillId="16" borderId="9" xfId="0" applyFont="1" applyFill="1" applyBorder="1" applyAlignment="1">
      <alignment horizontal="center" vertical="center"/>
    </xf>
    <xf numFmtId="0" fontId="29" fillId="17" borderId="27" xfId="42" applyFont="1" applyFill="1" applyBorder="1" applyAlignment="1">
      <alignment horizontal="center" vertical="center" wrapText="1"/>
    </xf>
    <xf numFmtId="0" fontId="28" fillId="17" borderId="9" xfId="0" applyFont="1" applyFill="1" applyBorder="1" applyAlignment="1">
      <alignment horizontal="center" vertical="center" wrapText="1"/>
    </xf>
    <xf numFmtId="0" fontId="2" fillId="0" borderId="9" xfId="0" applyNumberFormat="1" applyFont="1" applyFill="1" applyBorder="1" applyAlignment="1">
      <alignment horizontal="left" vertical="center"/>
    </xf>
    <xf numFmtId="1" fontId="2" fillId="0" borderId="9" xfId="0" applyNumberFormat="1" applyFont="1" applyFill="1" applyBorder="1" applyAlignment="1">
      <alignment horizontal="left" vertical="center"/>
    </xf>
    <xf numFmtId="0" fontId="29" fillId="17" borderId="9" xfId="42" applyFont="1" applyFill="1" applyBorder="1" applyAlignment="1">
      <alignment horizontal="center" vertical="center"/>
    </xf>
    <xf numFmtId="0" fontId="29" fillId="17" borderId="9" xfId="42" applyFont="1" applyFill="1" applyBorder="1" applyAlignment="1">
      <alignment horizontal="center" vertical="center" wrapText="1"/>
    </xf>
    <xf numFmtId="0" fontId="41" fillId="17" borderId="9" xfId="42" applyFont="1" applyFill="1" applyBorder="1" applyAlignment="1">
      <alignment horizontal="center" vertical="center"/>
    </xf>
    <xf numFmtId="0" fontId="29" fillId="17" borderId="9" xfId="42" applyFont="1" applyFill="1" applyBorder="1" applyAlignment="1">
      <alignment horizontal="left" vertical="center"/>
    </xf>
    <xf numFmtId="0" fontId="40" fillId="33" borderId="0" xfId="42" applyFont="1" applyFill="1" applyAlignment="1">
      <alignment horizontal="left" vertical="center"/>
    </xf>
    <xf numFmtId="0" fontId="29" fillId="17" borderId="50" xfId="42" applyFont="1" applyFill="1" applyBorder="1" applyAlignment="1">
      <alignment vertical="center"/>
    </xf>
    <xf numFmtId="0" fontId="40" fillId="17" borderId="9" xfId="0" applyFont="1" applyFill="1" applyBorder="1" applyAlignment="1">
      <alignment horizontal="center" vertical="center"/>
    </xf>
    <xf numFmtId="0" fontId="38" fillId="17" borderId="0" xfId="42" applyFont="1" applyFill="1" applyAlignment="1">
      <alignment horizontal="left" vertical="center"/>
    </xf>
    <xf numFmtId="0" fontId="40" fillId="17" borderId="0" xfId="42" applyFont="1" applyFill="1" applyAlignment="1">
      <alignment horizontal="left" vertical="center"/>
    </xf>
    <xf numFmtId="0" fontId="29" fillId="17" borderId="27" xfId="42" applyFont="1" applyFill="1" applyBorder="1" applyAlignment="1">
      <alignment horizontal="center" vertical="center"/>
    </xf>
    <xf numFmtId="0" fontId="41" fillId="17" borderId="0" xfId="42" applyFont="1" applyFill="1" applyBorder="1" applyAlignment="1">
      <alignment vertical="center"/>
    </xf>
    <xf numFmtId="1" fontId="41" fillId="17" borderId="0" xfId="42" applyNumberFormat="1" applyFont="1" applyFill="1" applyBorder="1" applyAlignment="1">
      <alignment horizontal="center" vertical="center"/>
    </xf>
    <xf numFmtId="0" fontId="41" fillId="17" borderId="0" xfId="42" applyFont="1" applyFill="1" applyBorder="1" applyAlignment="1">
      <alignment horizontal="center" vertical="center"/>
    </xf>
    <xf numFmtId="37" fontId="41" fillId="17" borderId="0" xfId="41" applyNumberFormat="1" applyFont="1" applyFill="1" applyBorder="1" applyAlignment="1">
      <alignment horizontal="center" vertical="center"/>
    </xf>
    <xf numFmtId="0" fontId="41" fillId="17" borderId="0" xfId="42" applyFont="1" applyFill="1" applyBorder="1" applyAlignment="1">
      <alignment horizontal="right" vertical="center"/>
    </xf>
    <xf numFmtId="3" fontId="41" fillId="17" borderId="0" xfId="42" applyNumberFormat="1" applyFont="1" applyFill="1" applyBorder="1" applyAlignment="1">
      <alignment horizontal="center" vertical="center"/>
    </xf>
    <xf numFmtId="167" fontId="29" fillId="17" borderId="9" xfId="42" applyNumberFormat="1" applyFont="1" applyFill="1" applyBorder="1" applyAlignment="1">
      <alignment horizontal="center" vertical="center"/>
    </xf>
    <xf numFmtId="0" fontId="41" fillId="17" borderId="18" xfId="42" applyFont="1" applyFill="1" applyBorder="1" applyAlignment="1">
      <alignment horizontal="right" vertical="center"/>
    </xf>
    <xf numFmtId="2" fontId="29" fillId="17" borderId="9" xfId="42" applyNumberFormat="1" applyFont="1" applyFill="1" applyBorder="1" applyAlignment="1">
      <alignment horizontal="center" vertical="center"/>
    </xf>
    <xf numFmtId="0" fontId="29" fillId="17" borderId="9" xfId="42" applyFont="1" applyFill="1" applyBorder="1" applyAlignment="1">
      <alignment horizontal="left" vertical="center" wrapText="1"/>
    </xf>
    <xf numFmtId="0" fontId="29" fillId="17" borderId="0" xfId="42" applyFont="1" applyFill="1" applyAlignment="1">
      <alignment horizontal="center" vertical="center" wrapText="1"/>
    </xf>
    <xf numFmtId="10" fontId="29" fillId="17" borderId="9" xfId="42" applyNumberFormat="1" applyFont="1" applyFill="1" applyBorder="1" applyAlignment="1">
      <alignment horizontal="center" vertical="center"/>
    </xf>
    <xf numFmtId="9" fontId="29" fillId="17" borderId="9" xfId="42" applyNumberFormat="1" applyFont="1" applyFill="1" applyBorder="1" applyAlignment="1">
      <alignment horizontal="center" vertical="center"/>
    </xf>
    <xf numFmtId="10" fontId="29" fillId="17" borderId="9" xfId="42" applyNumberFormat="1" applyFont="1" applyFill="1" applyBorder="1" applyAlignment="1">
      <alignment horizontal="center" vertical="center" wrapText="1"/>
    </xf>
    <xf numFmtId="169" fontId="29" fillId="17" borderId="9" xfId="42" applyNumberFormat="1" applyFont="1" applyFill="1" applyBorder="1" applyAlignment="1">
      <alignment horizontal="center" vertical="center" wrapText="1"/>
    </xf>
    <xf numFmtId="9" fontId="29" fillId="17" borderId="9" xfId="42" applyNumberFormat="1" applyFont="1" applyFill="1" applyBorder="1" applyAlignment="1">
      <alignment horizontal="center" vertical="center" wrapText="1"/>
    </xf>
    <xf numFmtId="0" fontId="29" fillId="17" borderId="27" xfId="42" applyFont="1" applyFill="1" applyBorder="1" applyAlignment="1">
      <alignment horizontal="left" vertical="center"/>
    </xf>
    <xf numFmtId="0" fontId="29" fillId="17" borderId="0" xfId="42" applyFont="1" applyFill="1" applyBorder="1" applyAlignment="1">
      <alignment horizontal="center" vertical="center"/>
    </xf>
    <xf numFmtId="1" fontId="41" fillId="38" borderId="9" xfId="42" applyNumberFormat="1" applyFont="1" applyFill="1" applyBorder="1" applyAlignment="1">
      <alignment horizontal="center" vertical="center"/>
    </xf>
    <xf numFmtId="37" fontId="41" fillId="38" borderId="9" xfId="41" applyNumberFormat="1" applyFont="1" applyFill="1" applyBorder="1" applyAlignment="1">
      <alignment horizontal="center" vertical="center"/>
    </xf>
    <xf numFmtId="3" fontId="29" fillId="17" borderId="9" xfId="42" applyNumberFormat="1" applyFont="1" applyFill="1" applyBorder="1" applyAlignment="1">
      <alignment horizontal="center" vertical="center" wrapText="1"/>
    </xf>
    <xf numFmtId="0" fontId="29" fillId="17" borderId="50" xfId="42" applyFont="1" applyFill="1" applyBorder="1" applyAlignment="1">
      <alignment horizontal="center" vertical="center"/>
    </xf>
    <xf numFmtId="0" fontId="29" fillId="39" borderId="50" xfId="0" applyFont="1" applyFill="1" applyBorder="1" applyAlignment="1">
      <alignment vertical="center" wrapText="1"/>
    </xf>
    <xf numFmtId="0" fontId="29" fillId="17" borderId="0" xfId="42" applyFont="1" applyFill="1" applyBorder="1" applyAlignment="1">
      <alignment horizontal="right" vertical="center"/>
    </xf>
    <xf numFmtId="1" fontId="29" fillId="17" borderId="50" xfId="42" applyNumberFormat="1" applyFont="1" applyFill="1" applyBorder="1" applyAlignment="1">
      <alignment horizontal="center" vertical="center"/>
    </xf>
    <xf numFmtId="9" fontId="29" fillId="17" borderId="50" xfId="30" applyFont="1" applyFill="1" applyBorder="1" applyAlignment="1">
      <alignment horizontal="center" vertical="center"/>
    </xf>
    <xf numFmtId="3" fontId="29" fillId="17" borderId="50" xfId="41" applyNumberFormat="1" applyFont="1" applyFill="1" applyBorder="1" applyAlignment="1">
      <alignment horizontal="center" vertical="center"/>
    </xf>
    <xf numFmtId="168" fontId="29" fillId="17" borderId="0" xfId="42" applyNumberFormat="1" applyFont="1" applyFill="1" applyBorder="1" applyAlignment="1">
      <alignment horizontal="center" vertical="center" wrapText="1"/>
    </xf>
    <xf numFmtId="0" fontId="41" fillId="17" borderId="0" xfId="42" applyFont="1" applyFill="1" applyBorder="1" applyAlignment="1">
      <alignment horizontal="center" vertical="center" wrapText="1"/>
    </xf>
    <xf numFmtId="0" fontId="41" fillId="17" borderId="37" xfId="42" applyFont="1" applyFill="1" applyBorder="1" applyAlignment="1">
      <alignment horizontal="center" vertical="center" wrapText="1"/>
    </xf>
    <xf numFmtId="3" fontId="29" fillId="30" borderId="9" xfId="42" applyNumberFormat="1" applyFont="1" applyFill="1" applyBorder="1" applyAlignment="1">
      <alignment horizontal="center" vertical="center"/>
    </xf>
    <xf numFmtId="0" fontId="29" fillId="17" borderId="9" xfId="42" applyFont="1" applyFill="1" applyBorder="1" applyAlignment="1">
      <alignment horizontal="right" vertical="center" wrapText="1"/>
    </xf>
    <xf numFmtId="0" fontId="29" fillId="30" borderId="9" xfId="0" applyFont="1" applyFill="1" applyBorder="1" applyAlignment="1">
      <alignment vertical="top"/>
    </xf>
    <xf numFmtId="0" fontId="97" fillId="17" borderId="0" xfId="0" applyFont="1" applyFill="1" applyAlignment="1">
      <alignment vertical="center"/>
    </xf>
    <xf numFmtId="0" fontId="18" fillId="17" borderId="0" xfId="26" applyFont="1" applyFill="1" applyAlignment="1" applyProtection="1">
      <alignment vertical="center"/>
    </xf>
    <xf numFmtId="0" fontId="18" fillId="17" borderId="0" xfId="26" applyFont="1" applyFill="1" applyBorder="1" applyAlignment="1" applyProtection="1"/>
    <xf numFmtId="0" fontId="2" fillId="0" borderId="9" xfId="29" applyFont="1" applyFill="1" applyBorder="1" applyAlignment="1">
      <alignment horizontal="center" vertical="center"/>
    </xf>
    <xf numFmtId="1" fontId="2" fillId="0" borderId="9" xfId="29" applyNumberFormat="1" applyFont="1" applyBorder="1" applyAlignment="1">
      <alignment horizontal="center" vertical="center"/>
    </xf>
    <xf numFmtId="0" fontId="2" fillId="0" borderId="9" xfId="29" applyFont="1" applyBorder="1" applyAlignment="1">
      <alignment horizontal="center" vertical="center"/>
    </xf>
    <xf numFmtId="3" fontId="97" fillId="17" borderId="9" xfId="29" applyNumberFormat="1" applyFont="1" applyFill="1" applyBorder="1" applyAlignment="1">
      <alignment horizontal="center" vertical="center"/>
    </xf>
    <xf numFmtId="0" fontId="48" fillId="17" borderId="49" xfId="0" applyFont="1" applyFill="1" applyBorder="1" applyAlignment="1">
      <alignment horizontal="left" vertical="center" wrapText="1"/>
    </xf>
    <xf numFmtId="0" fontId="48" fillId="17" borderId="49" xfId="0" applyFont="1" applyFill="1" applyBorder="1" applyAlignment="1">
      <alignment horizontal="left" vertical="center"/>
    </xf>
    <xf numFmtId="0" fontId="2" fillId="15" borderId="0" xfId="29" applyFont="1" applyFill="1" applyAlignment="1">
      <alignment vertical="center"/>
    </xf>
    <xf numFmtId="0" fontId="28" fillId="15" borderId="0" xfId="29" applyFont="1" applyFill="1" applyAlignment="1">
      <alignment vertical="center"/>
    </xf>
    <xf numFmtId="0" fontId="99" fillId="15" borderId="0" xfId="29" applyFont="1" applyFill="1" applyBorder="1" applyAlignment="1">
      <alignment vertical="center"/>
    </xf>
    <xf numFmtId="0" fontId="87" fillId="12" borderId="0" xfId="0" applyFont="1" applyFill="1" applyAlignment="1">
      <alignment vertical="center"/>
    </xf>
    <xf numFmtId="0" fontId="18" fillId="0" borderId="0" xfId="26" applyFill="1" applyAlignment="1" applyProtection="1">
      <alignment vertical="center"/>
    </xf>
    <xf numFmtId="4" fontId="28" fillId="14" borderId="29" xfId="0" applyNumberFormat="1" applyFont="1" applyFill="1" applyBorder="1" applyAlignment="1">
      <alignment horizontal="center" vertical="center"/>
    </xf>
    <xf numFmtId="4" fontId="28" fillId="14" borderId="37" xfId="0" applyNumberFormat="1" applyFont="1" applyFill="1" applyBorder="1" applyAlignment="1">
      <alignment horizontal="center" vertical="center"/>
    </xf>
    <xf numFmtId="3" fontId="49" fillId="16" borderId="9" xfId="0" applyNumberFormat="1" applyFont="1" applyFill="1" applyBorder="1" applyAlignment="1">
      <alignment horizontal="center" vertical="center"/>
    </xf>
    <xf numFmtId="0" fontId="46" fillId="17" borderId="0" xfId="48" applyFont="1" applyFill="1" applyBorder="1" applyAlignment="1">
      <alignment vertical="center"/>
    </xf>
    <xf numFmtId="0" fontId="46" fillId="17" borderId="0" xfId="48" applyFont="1" applyFill="1" applyBorder="1" applyAlignment="1">
      <alignment horizontal="center" vertical="center"/>
    </xf>
    <xf numFmtId="0" fontId="46" fillId="17" borderId="0" xfId="49" applyFont="1" applyFill="1" applyBorder="1" applyAlignment="1">
      <alignment horizontal="center" vertical="center"/>
    </xf>
    <xf numFmtId="3" fontId="46" fillId="17" borderId="0" xfId="48" applyNumberFormat="1" applyFont="1" applyFill="1" applyBorder="1" applyAlignment="1">
      <alignment horizontal="center" vertical="center"/>
    </xf>
    <xf numFmtId="0" fontId="45" fillId="17" borderId="0" xfId="48" applyFont="1" applyFill="1" applyBorder="1" applyAlignment="1">
      <alignment vertical="center"/>
    </xf>
    <xf numFmtId="0" fontId="41" fillId="17" borderId="9" xfId="0" applyFont="1" applyFill="1" applyBorder="1" applyAlignment="1">
      <alignment horizontal="center" vertical="center" wrapText="1"/>
    </xf>
    <xf numFmtId="0" fontId="39" fillId="17" borderId="9" xfId="47" applyFont="1" applyFill="1" applyBorder="1" applyAlignment="1">
      <alignment horizontal="left" vertical="center" wrapText="1"/>
    </xf>
    <xf numFmtId="0" fontId="40" fillId="17" borderId="9" xfId="47" applyFont="1" applyFill="1" applyBorder="1" applyAlignment="1">
      <alignment horizontal="left" vertical="center" wrapText="1"/>
    </xf>
    <xf numFmtId="0" fontId="41" fillId="17" borderId="35" xfId="0" applyFont="1" applyFill="1" applyBorder="1" applyAlignment="1">
      <alignment horizontal="center" vertical="center" wrapText="1"/>
    </xf>
    <xf numFmtId="0" fontId="41" fillId="17" borderId="50" xfId="0" applyFont="1" applyFill="1" applyBorder="1" applyAlignment="1">
      <alignment horizontal="center" vertical="center" wrapText="1"/>
    </xf>
    <xf numFmtId="0" fontId="41" fillId="17" borderId="34" xfId="0" applyFont="1" applyFill="1" applyBorder="1" applyAlignment="1">
      <alignment horizontal="center" vertical="center" wrapText="1"/>
    </xf>
    <xf numFmtId="0" fontId="45" fillId="24" borderId="9" xfId="47" applyFont="1" applyFill="1" applyBorder="1" applyAlignment="1">
      <alignment horizontal="center" vertical="center"/>
    </xf>
    <xf numFmtId="0" fontId="41" fillId="17" borderId="27" xfId="0" applyFont="1" applyFill="1" applyBorder="1" applyAlignment="1">
      <alignment horizontal="center" vertical="center" wrapText="1"/>
    </xf>
    <xf numFmtId="0" fontId="29" fillId="30" borderId="29" xfId="0" applyFont="1" applyFill="1" applyBorder="1" applyAlignment="1">
      <alignment horizontal="left" vertical="top" wrapText="1"/>
    </xf>
    <xf numFmtId="0" fontId="29" fillId="30" borderId="52" xfId="0" applyFont="1" applyFill="1" applyBorder="1" applyAlignment="1">
      <alignment horizontal="left" vertical="top" wrapText="1"/>
    </xf>
    <xf numFmtId="0" fontId="29" fillId="30" borderId="36" xfId="0" applyFont="1" applyFill="1" applyBorder="1" applyAlignment="1">
      <alignment horizontal="left" vertical="top" wrapText="1"/>
    </xf>
    <xf numFmtId="0" fontId="29" fillId="30" borderId="37" xfId="0" applyFont="1" applyFill="1" applyBorder="1" applyAlignment="1">
      <alignment horizontal="left" vertical="top" wrapText="1"/>
    </xf>
    <xf numFmtId="0" fontId="29" fillId="30" borderId="0" xfId="0" applyFont="1" applyFill="1" applyBorder="1" applyAlignment="1">
      <alignment horizontal="left" vertical="top" wrapText="1"/>
    </xf>
    <xf numFmtId="0" fontId="29" fillId="30" borderId="35" xfId="0" applyFont="1" applyFill="1" applyBorder="1" applyAlignment="1">
      <alignment horizontal="left" vertical="top" wrapText="1"/>
    </xf>
    <xf numFmtId="0" fontId="29" fillId="30" borderId="24" xfId="0" applyFont="1" applyFill="1" applyBorder="1" applyAlignment="1">
      <alignment horizontal="left" vertical="top" wrapText="1"/>
    </xf>
    <xf numFmtId="0" fontId="29" fillId="30" borderId="17" xfId="0" applyFont="1" applyFill="1" applyBorder="1" applyAlignment="1">
      <alignment horizontal="left" vertical="top" wrapText="1"/>
    </xf>
    <xf numFmtId="0" fontId="29" fillId="30" borderId="23" xfId="0" applyFont="1" applyFill="1" applyBorder="1" applyAlignment="1">
      <alignment horizontal="left" vertical="top" wrapText="1"/>
    </xf>
    <xf numFmtId="0" fontId="41" fillId="15" borderId="9" xfId="0" applyFont="1" applyFill="1" applyBorder="1" applyAlignment="1">
      <alignment horizontal="center" vertical="center" wrapText="1"/>
    </xf>
    <xf numFmtId="0" fontId="29" fillId="0" borderId="9" xfId="0" applyFont="1" applyBorder="1" applyAlignment="1">
      <alignment vertical="center"/>
    </xf>
    <xf numFmtId="0" fontId="45" fillId="24" borderId="9" xfId="0" applyFont="1" applyFill="1" applyBorder="1" applyAlignment="1">
      <alignment horizontal="center" vertical="center" wrapText="1"/>
    </xf>
    <xf numFmtId="0" fontId="46" fillId="24" borderId="9" xfId="0" applyFont="1" applyFill="1" applyBorder="1" applyAlignment="1">
      <alignment vertical="center"/>
    </xf>
    <xf numFmtId="0" fontId="29" fillId="17" borderId="0" xfId="0" applyFont="1" applyFill="1" applyBorder="1" applyAlignment="1">
      <alignment horizontal="center"/>
    </xf>
    <xf numFmtId="0" fontId="41" fillId="17" borderId="50" xfId="0" applyFont="1" applyFill="1" applyBorder="1" applyAlignment="1">
      <alignment horizontal="left" vertical="center" wrapText="1"/>
    </xf>
    <xf numFmtId="0" fontId="41" fillId="17" borderId="34" xfId="0" applyFont="1" applyFill="1" applyBorder="1" applyAlignment="1">
      <alignment horizontal="left" vertical="center" wrapText="1"/>
    </xf>
    <xf numFmtId="0" fontId="41" fillId="17" borderId="27" xfId="0" applyFont="1" applyFill="1" applyBorder="1" applyAlignment="1">
      <alignment horizontal="left" vertical="center" wrapText="1"/>
    </xf>
    <xf numFmtId="0" fontId="41" fillId="17" borderId="36" xfId="0" applyFont="1" applyFill="1" applyBorder="1" applyAlignment="1">
      <alignment horizontal="left" vertical="center" wrapText="1"/>
    </xf>
    <xf numFmtId="0" fontId="41" fillId="17" borderId="35" xfId="0" applyFont="1" applyFill="1" applyBorder="1" applyAlignment="1">
      <alignment horizontal="left" vertical="center" wrapText="1"/>
    </xf>
    <xf numFmtId="0" fontId="41" fillId="17" borderId="23" xfId="0" applyFont="1" applyFill="1" applyBorder="1" applyAlignment="1">
      <alignment horizontal="left" vertical="center" wrapText="1"/>
    </xf>
    <xf numFmtId="0" fontId="41" fillId="0" borderId="9" xfId="0" applyFont="1" applyBorder="1" applyAlignment="1">
      <alignment horizontal="left" vertical="center"/>
    </xf>
    <xf numFmtId="0" fontId="41" fillId="13" borderId="9" xfId="0" applyFont="1" applyFill="1" applyBorder="1" applyAlignment="1">
      <alignment horizontal="center" vertical="center"/>
    </xf>
    <xf numFmtId="0" fontId="41" fillId="13" borderId="9" xfId="0" applyFont="1" applyFill="1" applyBorder="1" applyAlignment="1">
      <alignment vertical="center"/>
    </xf>
    <xf numFmtId="0" fontId="29" fillId="17" borderId="9" xfId="0" applyFont="1" applyFill="1" applyBorder="1" applyAlignment="1">
      <alignment horizontal="right" vertical="center" wrapText="1"/>
    </xf>
    <xf numFmtId="0" fontId="38" fillId="13" borderId="9" xfId="0" applyFont="1" applyFill="1" applyBorder="1" applyAlignment="1">
      <alignment vertical="center"/>
    </xf>
    <xf numFmtId="0" fontId="38" fillId="13" borderId="9" xfId="0" applyFont="1" applyFill="1" applyBorder="1" applyAlignment="1">
      <alignment horizontal="center" vertical="center"/>
    </xf>
    <xf numFmtId="0" fontId="90" fillId="0" borderId="50" xfId="0" applyFont="1" applyBorder="1" applyAlignment="1">
      <alignment horizontal="center" vertical="center" wrapText="1"/>
    </xf>
    <xf numFmtId="0" fontId="90" fillId="0" borderId="34" xfId="0" applyFont="1" applyBorder="1" applyAlignment="1">
      <alignment horizontal="center" vertical="center" wrapText="1"/>
    </xf>
    <xf numFmtId="0" fontId="90" fillId="0" borderId="18" xfId="0" applyFont="1" applyBorder="1" applyAlignment="1">
      <alignment horizontal="center" vertical="center"/>
    </xf>
    <xf numFmtId="0" fontId="90" fillId="0" borderId="51" xfId="0" applyFont="1" applyBorder="1" applyAlignment="1">
      <alignment horizontal="center" vertical="center"/>
    </xf>
    <xf numFmtId="0" fontId="90" fillId="0" borderId="49" xfId="0" applyFont="1" applyBorder="1" applyAlignment="1">
      <alignment horizontal="center" vertical="center"/>
    </xf>
    <xf numFmtId="0" fontId="90" fillId="0" borderId="27" xfId="0" applyFont="1" applyBorder="1" applyAlignment="1">
      <alignment horizontal="center" vertical="center" wrapText="1"/>
    </xf>
    <xf numFmtId="9" fontId="29" fillId="19" borderId="9" xfId="30" applyFont="1" applyFill="1" applyBorder="1" applyAlignment="1">
      <alignment horizontal="center" vertical="center"/>
    </xf>
    <xf numFmtId="0" fontId="29" fillId="19" borderId="9" xfId="0" applyFont="1" applyFill="1" applyBorder="1" applyAlignment="1">
      <alignment horizontal="center" vertical="center"/>
    </xf>
    <xf numFmtId="9" fontId="29" fillId="15" borderId="9" xfId="30" applyFont="1" applyFill="1" applyBorder="1" applyAlignment="1">
      <alignment horizontal="center" vertical="center"/>
    </xf>
    <xf numFmtId="0" fontId="29" fillId="15" borderId="9" xfId="0" applyFont="1" applyFill="1" applyBorder="1" applyAlignment="1">
      <alignment horizontal="center" vertical="center"/>
    </xf>
    <xf numFmtId="9" fontId="29" fillId="20" borderId="9" xfId="30" applyFont="1" applyFill="1" applyBorder="1" applyAlignment="1">
      <alignment horizontal="center" vertical="center"/>
    </xf>
    <xf numFmtId="0" fontId="29" fillId="20" borderId="9" xfId="0" applyFont="1" applyFill="1" applyBorder="1" applyAlignment="1">
      <alignment horizontal="center" vertical="center"/>
    </xf>
    <xf numFmtId="0" fontId="45" fillId="16" borderId="9" xfId="0" applyFont="1" applyFill="1" applyBorder="1" applyAlignment="1">
      <alignment horizontal="center" vertical="center" wrapText="1"/>
    </xf>
    <xf numFmtId="0" fontId="38" fillId="13" borderId="50" xfId="0" applyFont="1" applyFill="1" applyBorder="1" applyAlignment="1">
      <alignment horizontal="center" vertical="center"/>
    </xf>
    <xf numFmtId="0" fontId="38" fillId="13" borderId="34" xfId="0" applyFont="1" applyFill="1" applyBorder="1" applyAlignment="1">
      <alignment horizontal="center" vertical="center"/>
    </xf>
    <xf numFmtId="0" fontId="38" fillId="13" borderId="27" xfId="0" applyFont="1" applyFill="1" applyBorder="1" applyAlignment="1">
      <alignment horizontal="center" vertical="center"/>
    </xf>
    <xf numFmtId="3" fontId="41" fillId="17" borderId="50" xfId="0" applyNumberFormat="1" applyFont="1" applyFill="1" applyBorder="1" applyAlignment="1">
      <alignment horizontal="center" vertical="center"/>
    </xf>
    <xf numFmtId="3" fontId="41" fillId="17" borderId="34" xfId="0" applyNumberFormat="1" applyFont="1" applyFill="1" applyBorder="1" applyAlignment="1">
      <alignment horizontal="center" vertical="center"/>
    </xf>
    <xf numFmtId="3" fontId="41" fillId="17" borderId="27" xfId="0" applyNumberFormat="1" applyFont="1" applyFill="1" applyBorder="1" applyAlignment="1">
      <alignment horizontal="center" vertical="center"/>
    </xf>
    <xf numFmtId="0" fontId="45" fillId="16" borderId="9" xfId="0" applyFont="1" applyFill="1" applyBorder="1" applyAlignment="1">
      <alignment vertical="center"/>
    </xf>
    <xf numFmtId="0" fontId="46" fillId="0" borderId="9" xfId="0" applyFont="1" applyBorder="1" applyAlignment="1">
      <alignment vertical="center"/>
    </xf>
    <xf numFmtId="0" fontId="29" fillId="0" borderId="9" xfId="0" applyFont="1" applyBorder="1" applyAlignment="1">
      <alignment horizontal="center" vertical="center"/>
    </xf>
    <xf numFmtId="0" fontId="46" fillId="16" borderId="18" xfId="0" applyFont="1" applyFill="1" applyBorder="1" applyAlignment="1">
      <alignment horizontal="center" vertical="center"/>
    </xf>
    <xf numFmtId="0" fontId="46" fillId="16" borderId="49" xfId="0" applyFont="1" applyFill="1" applyBorder="1" applyAlignment="1">
      <alignment horizontal="center" vertical="center"/>
    </xf>
    <xf numFmtId="0" fontId="45" fillId="16" borderId="9" xfId="0" applyFont="1" applyFill="1" applyBorder="1" applyAlignment="1">
      <alignment horizontal="center" vertical="center"/>
    </xf>
    <xf numFmtId="0" fontId="41" fillId="13" borderId="18" xfId="0" applyFont="1" applyFill="1" applyBorder="1" applyAlignment="1">
      <alignment horizontal="center" vertical="center"/>
    </xf>
    <xf numFmtId="0" fontId="41" fillId="13" borderId="51" xfId="0" applyFont="1" applyFill="1" applyBorder="1" applyAlignment="1">
      <alignment horizontal="center" vertical="center"/>
    </xf>
    <xf numFmtId="0" fontId="41" fillId="13" borderId="49" xfId="0" applyFont="1" applyFill="1" applyBorder="1" applyAlignment="1">
      <alignment horizontal="center" vertical="center"/>
    </xf>
    <xf numFmtId="0" fontId="29" fillId="17" borderId="9" xfId="0" applyFont="1" applyFill="1" applyBorder="1" applyAlignment="1">
      <alignment vertical="center" wrapText="1"/>
    </xf>
    <xf numFmtId="0" fontId="29" fillId="17" borderId="9" xfId="0" applyFont="1" applyFill="1" applyBorder="1" applyAlignment="1">
      <alignment vertical="center"/>
    </xf>
    <xf numFmtId="0" fontId="45" fillId="16" borderId="18" xfId="0" applyFont="1" applyFill="1" applyBorder="1" applyAlignment="1">
      <alignment horizontal="center" vertical="center"/>
    </xf>
    <xf numFmtId="0" fontId="45" fillId="16" borderId="51" xfId="0" applyFont="1" applyFill="1" applyBorder="1" applyAlignment="1">
      <alignment horizontal="center" vertical="center"/>
    </xf>
    <xf numFmtId="0" fontId="45" fillId="16" borderId="49" xfId="0" applyFont="1" applyFill="1" applyBorder="1" applyAlignment="1">
      <alignment horizontal="center" vertical="center"/>
    </xf>
    <xf numFmtId="3" fontId="45" fillId="16" borderId="18" xfId="0" applyNumberFormat="1" applyFont="1" applyFill="1" applyBorder="1" applyAlignment="1">
      <alignment horizontal="center" vertical="center"/>
    </xf>
    <xf numFmtId="3" fontId="45" fillId="16" borderId="49" xfId="0" applyNumberFormat="1" applyFont="1" applyFill="1" applyBorder="1" applyAlignment="1">
      <alignment horizontal="center" vertical="center"/>
    </xf>
    <xf numFmtId="3" fontId="29" fillId="17" borderId="50" xfId="0" applyNumberFormat="1" applyFont="1" applyFill="1" applyBorder="1" applyAlignment="1">
      <alignment horizontal="center" vertical="center"/>
    </xf>
    <xf numFmtId="3" fontId="29" fillId="17" borderId="34" xfId="0" applyNumberFormat="1" applyFont="1" applyFill="1" applyBorder="1" applyAlignment="1">
      <alignment horizontal="center" vertical="center"/>
    </xf>
    <xf numFmtId="3" fontId="29" fillId="17" borderId="27" xfId="0" applyNumberFormat="1" applyFont="1" applyFill="1" applyBorder="1" applyAlignment="1">
      <alignment horizontal="center" vertical="center"/>
    </xf>
    <xf numFmtId="0" fontId="44" fillId="13" borderId="9" xfId="43" applyFont="1" applyFill="1" applyBorder="1" applyAlignment="1">
      <alignment horizontal="center" vertical="center" wrapText="1"/>
    </xf>
    <xf numFmtId="0" fontId="46" fillId="16" borderId="9" xfId="43" applyFont="1" applyFill="1" applyBorder="1" applyAlignment="1">
      <alignment horizontal="center" vertical="center" wrapText="1"/>
    </xf>
    <xf numFmtId="0" fontId="46" fillId="16" borderId="9" xfId="43" applyFont="1" applyFill="1" applyBorder="1" applyAlignment="1">
      <alignment horizontal="center" vertical="center"/>
    </xf>
    <xf numFmtId="0" fontId="40" fillId="14" borderId="50" xfId="46" applyFont="1" applyFill="1" applyBorder="1" applyAlignment="1">
      <alignment horizontal="center" vertical="center" wrapText="1"/>
    </xf>
    <xf numFmtId="0" fontId="40" fillId="14" borderId="34" xfId="46" applyFont="1" applyFill="1" applyBorder="1" applyAlignment="1">
      <alignment horizontal="center" vertical="center" wrapText="1"/>
    </xf>
    <xf numFmtId="0" fontId="40" fillId="14" borderId="27" xfId="46" applyFont="1" applyFill="1" applyBorder="1" applyAlignment="1">
      <alignment horizontal="center" vertical="center" wrapText="1"/>
    </xf>
    <xf numFmtId="3" fontId="41" fillId="14" borderId="18" xfId="0" applyNumberFormat="1" applyFont="1" applyFill="1" applyBorder="1" applyAlignment="1">
      <alignment horizontal="center" vertical="center"/>
    </xf>
    <xf numFmtId="0" fontId="29" fillId="0" borderId="49" xfId="0" applyFont="1" applyBorder="1" applyAlignment="1">
      <alignment horizontal="center" vertical="center"/>
    </xf>
    <xf numFmtId="0" fontId="46" fillId="0" borderId="51" xfId="0" applyFont="1" applyBorder="1" applyAlignment="1">
      <alignment horizontal="center" vertical="center"/>
    </xf>
    <xf numFmtId="0" fontId="40" fillId="14" borderId="9" xfId="46" applyFont="1" applyFill="1" applyBorder="1" applyAlignment="1">
      <alignment horizontal="center" vertical="center"/>
    </xf>
    <xf numFmtId="0" fontId="38" fillId="14" borderId="9" xfId="46" applyFont="1" applyFill="1" applyBorder="1" applyAlignment="1">
      <alignment horizontal="center" vertical="center"/>
    </xf>
    <xf numFmtId="0" fontId="40" fillId="14" borderId="9" xfId="46" applyFont="1" applyFill="1" applyBorder="1" applyAlignment="1">
      <alignment horizontal="center" vertical="center" wrapText="1"/>
    </xf>
    <xf numFmtId="0" fontId="40" fillId="14" borderId="18" xfId="46" applyFont="1" applyFill="1" applyBorder="1" applyAlignment="1">
      <alignment horizontal="center" vertical="center"/>
    </xf>
    <xf numFmtId="0" fontId="40" fillId="14" borderId="9" xfId="46" applyFont="1" applyFill="1" applyBorder="1" applyAlignment="1">
      <alignment vertical="center" wrapText="1"/>
    </xf>
    <xf numFmtId="0" fontId="46" fillId="16" borderId="9" xfId="0" applyFont="1" applyFill="1" applyBorder="1" applyAlignment="1">
      <alignment horizontal="center" vertical="center" wrapText="1"/>
    </xf>
    <xf numFmtId="0" fontId="46" fillId="0" borderId="9" xfId="0" applyFont="1" applyBorder="1" applyAlignment="1">
      <alignment horizontal="center" vertical="center" wrapText="1"/>
    </xf>
    <xf numFmtId="0" fontId="40" fillId="14" borderId="9" xfId="46" applyFont="1" applyFill="1" applyBorder="1" applyAlignment="1">
      <alignment vertical="center"/>
    </xf>
    <xf numFmtId="0" fontId="46" fillId="16" borderId="18" xfId="46" applyFont="1" applyFill="1" applyBorder="1" applyAlignment="1">
      <alignment horizontal="center" vertical="center"/>
    </xf>
    <xf numFmtId="0" fontId="46" fillId="16" borderId="51" xfId="0" applyFont="1" applyFill="1" applyBorder="1" applyAlignment="1">
      <alignment horizontal="center" vertical="center"/>
    </xf>
    <xf numFmtId="0" fontId="40" fillId="14" borderId="50" xfId="46" applyFont="1" applyFill="1" applyBorder="1" applyAlignment="1">
      <alignment horizontal="center" vertical="center"/>
    </xf>
    <xf numFmtId="0" fontId="40" fillId="14" borderId="27" xfId="46" applyFont="1" applyFill="1" applyBorder="1" applyAlignment="1">
      <alignment horizontal="center" vertical="center"/>
    </xf>
    <xf numFmtId="0" fontId="46" fillId="16" borderId="9" xfId="0" applyFont="1" applyFill="1" applyBorder="1" applyAlignment="1">
      <alignment horizontal="center" vertical="center"/>
    </xf>
    <xf numFmtId="0" fontId="46" fillId="0" borderId="9" xfId="0" applyFont="1" applyBorder="1" applyAlignment="1">
      <alignment horizontal="center" vertical="center"/>
    </xf>
    <xf numFmtId="0" fontId="46" fillId="16" borderId="36" xfId="0" applyFont="1" applyFill="1" applyBorder="1" applyAlignment="1">
      <alignment horizontal="center" vertical="center"/>
    </xf>
    <xf numFmtId="0" fontId="46" fillId="0" borderId="23" xfId="0" applyFont="1" applyBorder="1" applyAlignment="1">
      <alignment vertical="center"/>
    </xf>
    <xf numFmtId="0" fontId="29" fillId="0" borderId="9" xfId="0" applyFont="1" applyFill="1" applyBorder="1" applyAlignment="1">
      <alignment horizontal="right" vertical="center"/>
    </xf>
    <xf numFmtId="0" fontId="2" fillId="0" borderId="0" xfId="0" applyFont="1" applyFill="1" applyBorder="1" applyAlignment="1">
      <alignment horizontal="left" vertical="center" wrapText="1"/>
    </xf>
    <xf numFmtId="0" fontId="2" fillId="0" borderId="35" xfId="0" applyFont="1" applyFill="1" applyBorder="1" applyAlignment="1">
      <alignment horizontal="left" vertical="center" wrapText="1"/>
    </xf>
    <xf numFmtId="0" fontId="2" fillId="0" borderId="0" xfId="26" applyFont="1" applyFill="1" applyBorder="1" applyAlignment="1" applyProtection="1">
      <alignment horizontal="left" vertical="center" wrapText="1"/>
    </xf>
    <xf numFmtId="0" fontId="2" fillId="0" borderId="35" xfId="26" applyFont="1" applyFill="1" applyBorder="1" applyAlignment="1" applyProtection="1">
      <alignment horizontal="left" vertical="center" wrapText="1"/>
    </xf>
    <xf numFmtId="0" fontId="28" fillId="0" borderId="9" xfId="0" applyFont="1" applyFill="1" applyBorder="1" applyAlignment="1">
      <alignment horizontal="center" vertical="center"/>
    </xf>
    <xf numFmtId="0" fontId="28" fillId="0" borderId="9" xfId="0" applyFont="1" applyBorder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2" fillId="0" borderId="0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3" fontId="28" fillId="0" borderId="9" xfId="0" applyNumberFormat="1" applyFont="1" applyFill="1" applyBorder="1" applyAlignment="1">
      <alignment horizontal="center" vertical="center"/>
    </xf>
    <xf numFmtId="3" fontId="28" fillId="0" borderId="9" xfId="0" applyNumberFormat="1" applyFont="1" applyBorder="1" applyAlignment="1">
      <alignment vertical="center"/>
    </xf>
    <xf numFmtId="1" fontId="2" fillId="13" borderId="9" xfId="0" applyNumberFormat="1" applyFont="1" applyFill="1" applyBorder="1" applyAlignment="1">
      <alignment horizontal="center" vertical="center"/>
    </xf>
    <xf numFmtId="1" fontId="97" fillId="13" borderId="9" xfId="0" applyNumberFormat="1" applyFont="1" applyFill="1" applyBorder="1" applyAlignment="1">
      <alignment horizontal="center" vertical="center"/>
    </xf>
    <xf numFmtId="0" fontId="53" fillId="17" borderId="0" xfId="0" applyFont="1" applyFill="1" applyAlignment="1">
      <alignment horizontal="left" vertical="center"/>
    </xf>
    <xf numFmtId="0" fontId="2" fillId="0" borderId="35" xfId="0" applyFont="1" applyBorder="1" applyAlignment="1">
      <alignment vertical="center" wrapText="1"/>
    </xf>
    <xf numFmtId="0" fontId="28" fillId="0" borderId="9" xfId="0" applyFont="1" applyFill="1" applyBorder="1" applyAlignment="1">
      <alignment horizontal="left" vertical="center"/>
    </xf>
    <xf numFmtId="0" fontId="2" fillId="0" borderId="9" xfId="0" applyFont="1" applyBorder="1" applyAlignment="1">
      <alignment vertical="center"/>
    </xf>
    <xf numFmtId="0" fontId="2" fillId="0" borderId="0" xfId="26" applyFont="1" applyFill="1" applyBorder="1" applyAlignment="1" applyProtection="1">
      <alignment vertical="center" wrapText="1"/>
    </xf>
    <xf numFmtId="0" fontId="2" fillId="0" borderId="35" xfId="26" applyFont="1" applyFill="1" applyBorder="1" applyAlignment="1" applyProtection="1">
      <alignment vertical="center" wrapText="1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/>
    </xf>
    <xf numFmtId="0" fontId="53" fillId="0" borderId="0" xfId="0" applyFont="1" applyFill="1" applyAlignment="1">
      <alignment horizontal="left" vertical="center"/>
    </xf>
    <xf numFmtId="165" fontId="2" fillId="0" borderId="28" xfId="30" applyNumberFormat="1" applyFont="1" applyFill="1" applyBorder="1" applyAlignment="1">
      <alignment horizontal="right" vertical="center"/>
    </xf>
    <xf numFmtId="165" fontId="2" fillId="0" borderId="27" xfId="30" applyNumberFormat="1" applyFont="1" applyBorder="1" applyAlignment="1">
      <alignment vertical="center"/>
    </xf>
    <xf numFmtId="0" fontId="41" fillId="0" borderId="9" xfId="0" applyFont="1" applyBorder="1" applyAlignment="1">
      <alignment horizontal="left" vertical="center" wrapText="1"/>
    </xf>
    <xf numFmtId="0" fontId="41" fillId="0" borderId="9" xfId="0" applyFont="1" applyBorder="1" applyAlignment="1">
      <alignment horizontal="center" vertical="center" wrapText="1"/>
    </xf>
    <xf numFmtId="0" fontId="29" fillId="0" borderId="9" xfId="0" applyFont="1" applyBorder="1" applyAlignment="1">
      <alignment vertical="center" wrapText="1"/>
    </xf>
    <xf numFmtId="0" fontId="2" fillId="0" borderId="0" xfId="0" applyFont="1" applyFill="1" applyAlignment="1">
      <alignment vertical="top" wrapText="1"/>
    </xf>
    <xf numFmtId="0" fontId="2" fillId="0" borderId="0" xfId="0" applyFont="1" applyAlignment="1">
      <alignment vertical="top"/>
    </xf>
    <xf numFmtId="0" fontId="2" fillId="0" borderId="0" xfId="0" applyFont="1" applyFill="1" applyAlignment="1">
      <alignment wrapText="1"/>
    </xf>
    <xf numFmtId="0" fontId="2" fillId="0" borderId="0" xfId="0" applyFont="1" applyAlignment="1"/>
    <xf numFmtId="0" fontId="2" fillId="0" borderId="9" xfId="0" applyFont="1" applyFill="1" applyBorder="1" applyAlignment="1">
      <alignment horizontal="left" vertical="center" wrapText="1"/>
    </xf>
    <xf numFmtId="0" fontId="2" fillId="0" borderId="9" xfId="0" applyFont="1" applyFill="1" applyBorder="1" applyAlignment="1">
      <alignment wrapText="1"/>
    </xf>
    <xf numFmtId="0" fontId="2" fillId="0" borderId="9" xfId="0" applyFont="1" applyFill="1" applyBorder="1" applyAlignment="1">
      <alignment horizontal="left" vertical="center"/>
    </xf>
    <xf numFmtId="1" fontId="28" fillId="14" borderId="9" xfId="29" applyNumberFormat="1" applyFont="1" applyFill="1" applyBorder="1" applyAlignment="1">
      <alignment horizontal="center" vertical="center" wrapText="1"/>
    </xf>
    <xf numFmtId="1" fontId="28" fillId="14" borderId="9" xfId="29" applyNumberFormat="1" applyFont="1" applyFill="1" applyBorder="1" applyAlignment="1">
      <alignment horizontal="center" vertical="center"/>
    </xf>
    <xf numFmtId="1" fontId="82" fillId="16" borderId="0" xfId="29" applyNumberFormat="1" applyFont="1" applyFill="1" applyBorder="1" applyAlignment="1">
      <alignment horizontal="left" vertical="center" wrapText="1"/>
    </xf>
    <xf numFmtId="0" fontId="29" fillId="17" borderId="9" xfId="42" applyFont="1" applyFill="1" applyBorder="1" applyAlignment="1">
      <alignment horizontal="left" vertical="center"/>
    </xf>
    <xf numFmtId="0" fontId="41" fillId="17" borderId="9" xfId="42" applyFont="1" applyFill="1" applyBorder="1" applyAlignment="1">
      <alignment horizontal="left" vertical="center"/>
    </xf>
    <xf numFmtId="0" fontId="29" fillId="17" borderId="9" xfId="42" applyFont="1" applyFill="1" applyBorder="1" applyAlignment="1">
      <alignment horizontal="left" vertical="center" wrapText="1"/>
    </xf>
    <xf numFmtId="0" fontId="41" fillId="17" borderId="9" xfId="42" applyFont="1" applyFill="1" applyBorder="1" applyAlignment="1">
      <alignment horizontal="left" vertical="center" wrapText="1"/>
    </xf>
    <xf numFmtId="0" fontId="29" fillId="17" borderId="24" xfId="42" applyFont="1" applyFill="1" applyBorder="1" applyAlignment="1">
      <alignment horizontal="left" vertical="center"/>
    </xf>
    <xf numFmtId="0" fontId="29" fillId="17" borderId="17" xfId="42" applyFont="1" applyFill="1" applyBorder="1" applyAlignment="1">
      <alignment horizontal="left" vertical="center"/>
    </xf>
    <xf numFmtId="0" fontId="29" fillId="17" borderId="23" xfId="42" applyFont="1" applyFill="1" applyBorder="1" applyAlignment="1">
      <alignment horizontal="left" vertical="center"/>
    </xf>
    <xf numFmtId="0" fontId="29" fillId="17" borderId="18" xfId="42" applyFont="1" applyFill="1" applyBorder="1" applyAlignment="1">
      <alignment horizontal="left" vertical="center" wrapText="1"/>
    </xf>
    <xf numFmtId="0" fontId="29" fillId="17" borderId="51" xfId="42" applyFont="1" applyFill="1" applyBorder="1" applyAlignment="1">
      <alignment horizontal="left" vertical="center" wrapText="1"/>
    </xf>
    <xf numFmtId="0" fontId="29" fillId="17" borderId="49" xfId="42" applyFont="1" applyFill="1" applyBorder="1" applyAlignment="1">
      <alignment horizontal="left" vertical="center" wrapText="1"/>
    </xf>
    <xf numFmtId="0" fontId="29" fillId="17" borderId="50" xfId="42" applyFont="1" applyFill="1" applyBorder="1" applyAlignment="1">
      <alignment horizontal="left" vertical="center" wrapText="1"/>
    </xf>
    <xf numFmtId="0" fontId="29" fillId="17" borderId="27" xfId="42" applyFont="1" applyFill="1" applyBorder="1" applyAlignment="1">
      <alignment horizontal="left" vertical="center" wrapText="1"/>
    </xf>
    <xf numFmtId="0" fontId="41" fillId="17" borderId="9" xfId="42" applyFont="1" applyFill="1" applyBorder="1" applyAlignment="1">
      <alignment horizontal="center" vertical="center"/>
    </xf>
    <xf numFmtId="0" fontId="41" fillId="17" borderId="50" xfId="42" applyFont="1" applyFill="1" applyBorder="1" applyAlignment="1">
      <alignment horizontal="center" vertical="center" wrapText="1"/>
    </xf>
    <xf numFmtId="0" fontId="41" fillId="17" borderId="27" xfId="42" applyFont="1" applyFill="1" applyBorder="1" applyAlignment="1">
      <alignment horizontal="center" vertical="center" wrapText="1"/>
    </xf>
    <xf numFmtId="0" fontId="41" fillId="17" borderId="50" xfId="42" applyFont="1" applyFill="1" applyBorder="1" applyAlignment="1">
      <alignment horizontal="center" vertical="center"/>
    </xf>
    <xf numFmtId="0" fontId="41" fillId="17" borderId="34" xfId="42" applyFont="1" applyFill="1" applyBorder="1" applyAlignment="1">
      <alignment horizontal="center" vertical="center"/>
    </xf>
    <xf numFmtId="0" fontId="41" fillId="17" borderId="27" xfId="42" applyFont="1" applyFill="1" applyBorder="1" applyAlignment="1">
      <alignment horizontal="center" vertical="center"/>
    </xf>
    <xf numFmtId="0" fontId="29" fillId="17" borderId="9" xfId="42" applyFont="1" applyFill="1" applyBorder="1" applyAlignment="1">
      <alignment horizontal="right" vertical="center"/>
    </xf>
    <xf numFmtId="0" fontId="29" fillId="17" borderId="50" xfId="42" applyFont="1" applyFill="1" applyBorder="1" applyAlignment="1">
      <alignment horizontal="center" vertical="center" wrapText="1"/>
    </xf>
    <xf numFmtId="0" fontId="29" fillId="17" borderId="27" xfId="42" applyFont="1" applyFill="1" applyBorder="1" applyAlignment="1">
      <alignment horizontal="center" vertical="center" wrapText="1"/>
    </xf>
    <xf numFmtId="0" fontId="29" fillId="17" borderId="50" xfId="42" applyFont="1" applyFill="1" applyBorder="1" applyAlignment="1">
      <alignment horizontal="center" vertical="center"/>
    </xf>
    <xf numFmtId="0" fontId="29" fillId="17" borderId="27" xfId="42" applyFont="1" applyFill="1" applyBorder="1" applyAlignment="1">
      <alignment horizontal="center" vertical="center"/>
    </xf>
    <xf numFmtId="0" fontId="29" fillId="17" borderId="9" xfId="42" applyFont="1" applyFill="1" applyBorder="1" applyAlignment="1">
      <alignment horizontal="center" vertical="center"/>
    </xf>
    <xf numFmtId="0" fontId="29" fillId="17" borderId="9" xfId="42" applyFont="1" applyFill="1" applyBorder="1" applyAlignment="1">
      <alignment horizontal="center" vertical="center" wrapText="1"/>
    </xf>
    <xf numFmtId="0" fontId="41" fillId="17" borderId="18" xfId="42" applyFont="1" applyFill="1" applyBorder="1" applyAlignment="1">
      <alignment horizontal="left" vertical="center"/>
    </xf>
    <xf numFmtId="0" fontId="41" fillId="17" borderId="49" xfId="42" applyFont="1" applyFill="1" applyBorder="1" applyAlignment="1">
      <alignment horizontal="left" vertical="center"/>
    </xf>
    <xf numFmtId="0" fontId="29" fillId="17" borderId="18" xfId="42" applyFont="1" applyFill="1" applyBorder="1" applyAlignment="1">
      <alignment horizontal="left" vertical="center"/>
    </xf>
    <xf numFmtId="0" fontId="29" fillId="17" borderId="49" xfId="42" applyFont="1" applyFill="1" applyBorder="1" applyAlignment="1">
      <alignment horizontal="left" vertical="center"/>
    </xf>
    <xf numFmtId="0" fontId="41" fillId="17" borderId="18" xfId="42" applyFont="1" applyFill="1" applyBorder="1" applyAlignment="1">
      <alignment horizontal="right" vertical="center"/>
    </xf>
    <xf numFmtId="0" fontId="41" fillId="17" borderId="51" xfId="42" applyFont="1" applyFill="1" applyBorder="1" applyAlignment="1">
      <alignment horizontal="right" vertical="center"/>
    </xf>
    <xf numFmtId="0" fontId="41" fillId="17" borderId="49" xfId="42" applyFont="1" applyFill="1" applyBorder="1" applyAlignment="1">
      <alignment horizontal="right" vertical="center"/>
    </xf>
    <xf numFmtId="0" fontId="41" fillId="17" borderId="9" xfId="42" applyFont="1" applyFill="1" applyBorder="1" applyAlignment="1">
      <alignment horizontal="center" vertical="center" wrapText="1"/>
    </xf>
    <xf numFmtId="0" fontId="41" fillId="17" borderId="18" xfId="42" applyFont="1" applyFill="1" applyBorder="1" applyAlignment="1">
      <alignment horizontal="left" vertical="center" wrapText="1"/>
    </xf>
    <xf numFmtId="0" fontId="41" fillId="17" borderId="51" xfId="42" applyFont="1" applyFill="1" applyBorder="1" applyAlignment="1">
      <alignment horizontal="left" vertical="center" wrapText="1"/>
    </xf>
    <xf numFmtId="0" fontId="41" fillId="17" borderId="49" xfId="42" applyFont="1" applyFill="1" applyBorder="1" applyAlignment="1">
      <alignment horizontal="left" vertical="center" wrapText="1"/>
    </xf>
    <xf numFmtId="0" fontId="29" fillId="17" borderId="51" xfId="42" applyFont="1" applyFill="1" applyBorder="1" applyAlignment="1">
      <alignment horizontal="left" vertical="center"/>
    </xf>
    <xf numFmtId="0" fontId="41" fillId="30" borderId="9" xfId="42" applyFont="1" applyFill="1" applyBorder="1" applyAlignment="1">
      <alignment horizontal="center" vertical="center"/>
    </xf>
    <xf numFmtId="0" fontId="29" fillId="17" borderId="18" xfId="42" applyFont="1" applyFill="1" applyBorder="1" applyAlignment="1">
      <alignment horizontal="center" vertical="center"/>
    </xf>
    <xf numFmtId="0" fontId="29" fillId="17" borderId="49" xfId="42" applyFont="1" applyFill="1" applyBorder="1" applyAlignment="1">
      <alignment horizontal="center" vertical="center"/>
    </xf>
    <xf numFmtId="0" fontId="29" fillId="17" borderId="34" xfId="42" applyFont="1" applyFill="1" applyBorder="1" applyAlignment="1">
      <alignment horizontal="center" vertical="center" wrapText="1"/>
    </xf>
    <xf numFmtId="0" fontId="41" fillId="17" borderId="51" xfId="42" applyFont="1" applyFill="1" applyBorder="1" applyAlignment="1">
      <alignment horizontal="left" vertical="center"/>
    </xf>
    <xf numFmtId="0" fontId="29" fillId="17" borderId="18" xfId="42" applyFont="1" applyFill="1" applyBorder="1" applyAlignment="1">
      <alignment horizontal="center" vertical="center" wrapText="1"/>
    </xf>
    <xf numFmtId="0" fontId="29" fillId="17" borderId="49" xfId="42" applyFont="1" applyFill="1" applyBorder="1" applyAlignment="1">
      <alignment horizontal="center" vertical="center" wrapText="1"/>
    </xf>
    <xf numFmtId="0" fontId="28" fillId="17" borderId="9" xfId="0" applyFont="1" applyFill="1" applyBorder="1" applyAlignment="1">
      <alignment horizontal="center" vertical="center" wrapText="1"/>
    </xf>
    <xf numFmtId="0" fontId="28" fillId="17" borderId="50" xfId="0" applyFont="1" applyFill="1" applyBorder="1" applyAlignment="1">
      <alignment horizontal="center" vertical="center" wrapText="1"/>
    </xf>
    <xf numFmtId="0" fontId="28" fillId="17" borderId="27" xfId="0" applyFont="1" applyFill="1" applyBorder="1" applyAlignment="1">
      <alignment horizontal="center" vertical="center" wrapText="1"/>
    </xf>
    <xf numFmtId="0" fontId="28" fillId="18" borderId="9" xfId="0" applyFont="1" applyFill="1" applyBorder="1" applyAlignment="1"/>
    <xf numFmtId="0" fontId="73" fillId="0" borderId="0" xfId="0" applyFont="1" applyFill="1"/>
    <xf numFmtId="0" fontId="30" fillId="0" borderId="0" xfId="0" applyFont="1" applyFill="1" applyBorder="1" applyAlignment="1">
      <alignment horizontal="left" vertical="center" wrapText="1"/>
    </xf>
    <xf numFmtId="0" fontId="29" fillId="0" borderId="18" xfId="50" applyFont="1" applyBorder="1" applyAlignment="1">
      <alignment vertical="center" wrapText="1"/>
    </xf>
    <xf numFmtId="0" fontId="29" fillId="0" borderId="51" xfId="50" applyFont="1" applyBorder="1" applyAlignment="1">
      <alignment vertical="center"/>
    </xf>
    <xf numFmtId="0" fontId="29" fillId="0" borderId="49" xfId="50" applyFont="1" applyBorder="1" applyAlignment="1">
      <alignment vertical="center"/>
    </xf>
    <xf numFmtId="0" fontId="45" fillId="17" borderId="0" xfId="48" applyFont="1" applyFill="1" applyBorder="1" applyAlignment="1">
      <alignment horizontal="center" vertical="center"/>
    </xf>
    <xf numFmtId="0" fontId="45" fillId="17" borderId="0" xfId="48" applyFont="1" applyFill="1" applyBorder="1" applyAlignment="1">
      <alignment horizontal="center" vertical="center" wrapText="1"/>
    </xf>
    <xf numFmtId="0" fontId="41" fillId="17" borderId="9" xfId="48" applyFont="1" applyFill="1" applyBorder="1" applyAlignment="1">
      <alignment horizontal="center" vertical="center"/>
    </xf>
    <xf numFmtId="0" fontId="41" fillId="17" borderId="9" xfId="48" applyFont="1" applyFill="1" applyBorder="1" applyAlignment="1">
      <alignment horizontal="center" vertical="center" wrapText="1"/>
    </xf>
    <xf numFmtId="0" fontId="54" fillId="17" borderId="18" xfId="50" applyFont="1" applyFill="1" applyBorder="1" applyAlignment="1">
      <alignment horizontal="center" vertical="center"/>
    </xf>
    <xf numFmtId="0" fontId="29" fillId="0" borderId="51" xfId="50" applyFont="1" applyBorder="1" applyAlignment="1">
      <alignment vertical="center" wrapText="1"/>
    </xf>
    <xf numFmtId="0" fontId="29" fillId="0" borderId="49" xfId="50" applyFont="1" applyBorder="1" applyAlignment="1">
      <alignment vertical="center" wrapText="1"/>
    </xf>
    <xf numFmtId="0" fontId="29" fillId="17" borderId="18" xfId="50" applyFont="1" applyFill="1" applyBorder="1" applyAlignment="1">
      <alignment horizontal="left" vertical="center" wrapText="1"/>
    </xf>
    <xf numFmtId="0" fontId="59" fillId="0" borderId="9" xfId="0" applyFont="1" applyFill="1" applyBorder="1" applyAlignment="1">
      <alignment horizontal="center" vertical="center" wrapText="1"/>
    </xf>
    <xf numFmtId="0" fontId="59" fillId="0" borderId="18" xfId="0" applyFont="1" applyFill="1" applyBorder="1" applyAlignment="1">
      <alignment horizontal="center" vertical="center" wrapText="1"/>
    </xf>
    <xf numFmtId="0" fontId="59" fillId="0" borderId="50" xfId="0" applyFont="1" applyFill="1" applyBorder="1" applyAlignment="1">
      <alignment horizontal="center" vertical="center" wrapText="1"/>
    </xf>
    <xf numFmtId="0" fontId="59" fillId="0" borderId="27" xfId="0" applyFont="1" applyFill="1" applyBorder="1" applyAlignment="1">
      <alignment horizontal="center" vertical="center" wrapText="1"/>
    </xf>
  </cellXfs>
  <cellStyles count="52">
    <cellStyle name="20 % - Accent1" xfId="1"/>
    <cellStyle name="20 % - Accent2" xfId="2"/>
    <cellStyle name="20 % - Accent3" xfId="3"/>
    <cellStyle name="20 % - Accent4" xfId="4"/>
    <cellStyle name="20 % - Accent5" xfId="5"/>
    <cellStyle name="20 % - Accent6" xfId="6"/>
    <cellStyle name="40 % - Accent1" xfId="7"/>
    <cellStyle name="40 % - Accent2" xfId="8"/>
    <cellStyle name="40 % - Accent3" xfId="9"/>
    <cellStyle name="40 % - Accent4" xfId="10"/>
    <cellStyle name="40 % - Accent5" xfId="11"/>
    <cellStyle name="40 % - Accent6" xfId="12"/>
    <cellStyle name="60 % - Accent1" xfId="13"/>
    <cellStyle name="60 % - Accent2" xfId="14"/>
    <cellStyle name="60 % - Accent3" xfId="15"/>
    <cellStyle name="60 % - Accent4" xfId="16"/>
    <cellStyle name="60 % - Accent5" xfId="17"/>
    <cellStyle name="60 % - Accent6" xfId="18"/>
    <cellStyle name="Avertissement" xfId="19"/>
    <cellStyle name="Calcul" xfId="20"/>
    <cellStyle name="Cellule liée" xfId="21"/>
    <cellStyle name="Commentaire" xfId="22"/>
    <cellStyle name="Entrée" xfId="23"/>
    <cellStyle name="Euro" xfId="24"/>
    <cellStyle name="Insatisfaisant" xfId="25"/>
    <cellStyle name="Lien hypertexte" xfId="26" builtinId="8"/>
    <cellStyle name="Lien hypertexte_Quantification GES_EM-figures EB" xfId="27"/>
    <cellStyle name="Milliers" xfId="41" builtinId="3"/>
    <cellStyle name="Neutre" xfId="28"/>
    <cellStyle name="Normal" xfId="0" builtinId="0"/>
    <cellStyle name="Normal 2" xfId="29"/>
    <cellStyle name="Normal 2 2" xfId="45"/>
    <cellStyle name="Normal 3" xfId="42"/>
    <cellStyle name="Normal 3 2" xfId="46"/>
    <cellStyle name="Normal 3 3" xfId="51"/>
    <cellStyle name="Normal 4" xfId="43"/>
    <cellStyle name="Normal 5" xfId="47"/>
    <cellStyle name="Normal 5 2" xfId="48"/>
    <cellStyle name="Normal 6" xfId="49"/>
    <cellStyle name="Normal 6 2" xfId="50"/>
    <cellStyle name="Pourcentage" xfId="30" builtinId="5"/>
    <cellStyle name="Pourcentage 2" xfId="44"/>
    <cellStyle name="Satisfaisant" xfId="31"/>
    <cellStyle name="Sortie" xfId="32"/>
    <cellStyle name="Texte explicatif" xfId="33"/>
    <cellStyle name="Titre" xfId="34"/>
    <cellStyle name="Titre 1" xfId="35"/>
    <cellStyle name="Titre 2" xfId="36"/>
    <cellStyle name="Titre 3" xfId="37"/>
    <cellStyle name="Titre 4" xfId="38"/>
    <cellStyle name="Titre_Quantification GES_EM-figures EB" xfId="39"/>
    <cellStyle name="Vérification" xfId="4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AC29E"/>
      <rgbColor rgb="009ABCDE"/>
      <rgbColor rgb="00D3DABC"/>
      <rgbColor rgb="0089C1C0"/>
      <rgbColor rgb="00003399"/>
      <rgbColor rgb="007C7EAC"/>
      <rgbColor rgb="00008080"/>
      <rgbColor rgb="00BBBCEB"/>
      <rgbColor rgb="00E6C799"/>
      <rgbColor rgb="00A7A7A7"/>
      <rgbColor rgb="00FFFF00"/>
      <rgbColor rgb="0000FFFF"/>
      <rgbColor rgb="00800080"/>
      <rgbColor rgb="002D6A1C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EC2"/>
      <color rgb="FFFFFFCC"/>
      <color rgb="FFF1CE0C"/>
      <color rgb="FFF1E10F"/>
      <color rgb="FF975505"/>
      <color rgb="FF33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37F3-3945-97C1-A20DF753F05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37F3-3945-97C1-A20DF753F05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87C9-1F47-BB22-A26D4565D39D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37F3-3945-97C1-A20DF753F05E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37F3-3945-97C1-A20DF753F05E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87C9-1F47-BB22-A26D4565D39D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4-37F3-3945-97C1-A20DF753F05E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87C9-1F47-BB22-A26D4565D39D}"/>
              </c:ext>
            </c:extLst>
          </c:dPt>
          <c:dLbls>
            <c:dLbl>
              <c:idx val="0"/>
              <c:layout>
                <c:manualLayout>
                  <c:x val="-0.24213093171660266"/>
                  <c:y val="-0.11165229068515864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bg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fr-F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37F3-3945-97C1-A20DF753F05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.10852741650105234"/>
                  <c:y val="-8.87659751522681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bg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fr-F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37F3-3945-97C1-A20DF753F05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9.7217512347697752E-2"/>
                  <c:y val="0.18237734284003798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bg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fr-F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37F3-3945-97C1-A20DF753F05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1.024597221789964E-2"/>
                  <c:y val="-2.586987902155624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37F3-3945-97C1-A20DF753F05E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4.3526397145020934E-2"/>
                  <c:y val="-7.9031954816536597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37F3-3945-97C1-A20DF753F05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fr-F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Sommaire!$A$8:$A$11</c:f>
              <c:strCache>
                <c:ptCount val="4"/>
                <c:pt idx="0">
                  <c:v>Matières résiduelles</c:v>
                </c:pt>
                <c:pt idx="1">
                  <c:v>Immeubles</c:v>
                </c:pt>
                <c:pt idx="2">
                  <c:v>Équipements motorisés</c:v>
                </c:pt>
                <c:pt idx="3">
                  <c:v>RTC</c:v>
                </c:pt>
              </c:strCache>
            </c:strRef>
          </c:cat>
          <c:val>
            <c:numRef>
              <c:f>Sommaire!$E$8:$E$11</c:f>
              <c:numCache>
                <c:formatCode>#,##0</c:formatCode>
                <c:ptCount val="4"/>
                <c:pt idx="0">
                  <c:v>133.84399999999999</c:v>
                </c:pt>
                <c:pt idx="1">
                  <c:v>16.073</c:v>
                </c:pt>
                <c:pt idx="2">
                  <c:v>31.003</c:v>
                </c:pt>
                <c:pt idx="3">
                  <c:v>42.396000000000001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37F3-3945-97C1-A20DF753F0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8855262109601987"/>
          <c:y val="0.22318972628421324"/>
          <c:w val="0.43328499416377092"/>
          <c:h val="0.64520943029518496"/>
        </c:manualLayout>
      </c:layout>
      <c:pieChart>
        <c:varyColors val="1"/>
        <c:ser>
          <c:idx val="0"/>
          <c:order val="0"/>
          <c:dLbls>
            <c:dLbl>
              <c:idx val="0"/>
              <c:layout>
                <c:manualLayout>
                  <c:x val="0.16705137008193141"/>
                  <c:y val="-8.991826044646952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63B7-274D-843F-A7681E6F9B91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.25983678950359784"/>
                  <c:y val="4.658907469963787E-2"/>
                </c:manualLayout>
              </c:layout>
              <c:tx>
                <c:rich>
                  <a:bodyPr/>
                  <a:lstStyle/>
                  <a:p>
                    <a:r>
                      <a:rPr lang="en-US">
                        <a:latin typeface="Arial" pitchFamily="34" charset="0"/>
                        <a:cs typeface="Arial" pitchFamily="34" charset="0"/>
                      </a:rPr>
                      <a:t>Climatisation                     
1.1%</a:t>
                    </a:r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63B7-274D-843F-A7681E6F9B91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3.4564104683764932E-2"/>
                  <c:y val="-4.5599639850844075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63B7-274D-843F-A7681E6F9B91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0.14663331604052346"/>
                  <c:y val="0.1135933979883783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63B7-274D-843F-A7681E6F9B91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0.10686801986860801"/>
                  <c:y val="-2.959352603058063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63B7-274D-843F-A7681E6F9B91}"/>
                </c:ex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0.24199808923872773"/>
                  <c:y val="-5.895359180146353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63B7-274D-843F-A7681E6F9B91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2.8518888549458977E-2"/>
                  <c:y val="-6.632292303662991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63B7-274D-843F-A7681E6F9B91}"/>
                </c:ex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/>
              <a:lstStyle/>
              <a:p>
                <a:pPr>
                  <a:defRPr sz="12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endParaRPr lang="fr-F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Résidentiel!$B$179:$B$188</c:f>
              <c:strCache>
                <c:ptCount val="10"/>
                <c:pt idx="0">
                  <c:v>Éclairage</c:v>
                </c:pt>
                <c:pt idx="1">
                  <c:v>Climatisation</c:v>
                </c:pt>
                <c:pt idx="2">
                  <c:v>Chauffage</c:v>
                </c:pt>
                <c:pt idx="6">
                  <c:v>Chauffage de l'eau</c:v>
                </c:pt>
                <c:pt idx="9">
                  <c:v>Appareils ménagers</c:v>
                </c:pt>
              </c:strCache>
            </c:strRef>
          </c:cat>
          <c:val>
            <c:numRef>
              <c:f>Résidentiel!$H$179:$H$188</c:f>
              <c:numCache>
                <c:formatCode>#,##0</c:formatCode>
                <c:ptCount val="10"/>
                <c:pt idx="0">
                  <c:v>401.05515278618896</c:v>
                </c:pt>
                <c:pt idx="1">
                  <c:v>147.68277546201239</c:v>
                </c:pt>
                <c:pt idx="2">
                  <c:v>282411.16808577219</c:v>
                </c:pt>
                <c:pt idx="6">
                  <c:v>25065.112672193925</c:v>
                </c:pt>
                <c:pt idx="9">
                  <c:v>1564.2644805643008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63B7-274D-843F-A7681E6F9B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000000000000411" l="0.70000000000000062" r="0.70000000000000062" t="0.75000000000000411" header="0.30000000000000032" footer="0.30000000000000032"/>
    <c:pageSetup orientation="landscape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7912258906852116"/>
          <c:y val="0.14734823452253193"/>
          <c:w val="0.61197503750612292"/>
          <c:h val="0.72651565047994504"/>
        </c:manualLayout>
      </c:layout>
      <c:pieChart>
        <c:varyColors val="1"/>
        <c:ser>
          <c:idx val="0"/>
          <c:order val="0"/>
          <c:dLbls>
            <c:dLbl>
              <c:idx val="0"/>
              <c:layout>
                <c:manualLayout>
                  <c:x val="2.4026428766279511E-2"/>
                  <c:y val="-3.687238270255080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D8A9-4C4F-850D-E5404FDFDC8D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6542989641491763E-2"/>
                  <c:y val="5.029198978290089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D8A9-4C4F-850D-E5404FDFDC8D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4.9614718632344304E-2"/>
                  <c:y val="7.6005646505787096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D8A9-4C4F-850D-E5404FDFDC8D}"/>
                </c:ex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endParaRPr lang="fr-F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Résidentiel!$B$194:$B$197</c:f>
              <c:strCache>
                <c:ptCount val="4"/>
                <c:pt idx="0">
                  <c:v>Électricité</c:v>
                </c:pt>
                <c:pt idx="1">
                  <c:v>Gaz naturel</c:v>
                </c:pt>
                <c:pt idx="2">
                  <c:v>Mazout</c:v>
                </c:pt>
                <c:pt idx="3">
                  <c:v>Bois</c:v>
                </c:pt>
              </c:strCache>
            </c:strRef>
          </c:cat>
          <c:val>
            <c:numRef>
              <c:f>Résidentiel!$F$194:$F$197</c:f>
              <c:numCache>
                <c:formatCode>#,##0</c:formatCode>
                <c:ptCount val="4"/>
                <c:pt idx="0">
                  <c:v>7596.7002786949524</c:v>
                </c:pt>
                <c:pt idx="1">
                  <c:v>64772.876829795001</c:v>
                </c:pt>
                <c:pt idx="2">
                  <c:v>230251.19486157529</c:v>
                </c:pt>
                <c:pt idx="3">
                  <c:v>6968.5111967133589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D8A9-4C4F-850D-E5404FDFDC8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000000000000411" l="0.70000000000000062" r="0.70000000000000062" t="0.75000000000000411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fr-CA" b="1">
                <a:latin typeface="Times New Roman" panose="02020603050405020304" pitchFamily="18" charset="0"/>
                <a:cs typeface="Times New Roman" panose="02020603050405020304" pitchFamily="18" charset="0"/>
              </a:rPr>
              <a:t>Émissions totales par source d'énergie (téq.CO</a:t>
            </a:r>
            <a:r>
              <a:rPr lang="fr-CA" b="1" baseline="-25000">
                <a:latin typeface="Times New Roman" panose="02020603050405020304" pitchFamily="18" charset="0"/>
                <a:cs typeface="Times New Roman" panose="02020603050405020304" pitchFamily="18" charset="0"/>
              </a:rPr>
              <a:t>2</a:t>
            </a:r>
            <a:r>
              <a:rPr lang="fr-CA" b="1">
                <a:latin typeface="Times New Roman" panose="02020603050405020304" pitchFamily="18" charset="0"/>
                <a:cs typeface="Times New Roman" panose="02020603050405020304" pitchFamily="18" charset="0"/>
              </a:rPr>
              <a:t>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fr-FR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4-9322-514B-9E2D-AB443F107DB8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9322-514B-9E2D-AB443F107DB8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9322-514B-9E2D-AB443F107DB8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9322-514B-9E2D-AB443F107DB8}"/>
              </c:ext>
            </c:extLst>
          </c:dPt>
          <c:dLbls>
            <c:dLbl>
              <c:idx val="0"/>
              <c:layout>
                <c:manualLayout>
                  <c:x val="8.5836243393602712E-2"/>
                  <c:y val="8.7226156669029781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322-514B-9E2D-AB443F107DB8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600" b="0" i="0" u="none" strike="noStrike" kern="1200" baseline="0">
                      <a:solidFill>
                        <a:schemeClr val="bg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fr-F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600" b="0" i="0" u="none" strike="noStrike" kern="1200" baseline="0">
                      <a:solidFill>
                        <a:schemeClr val="bg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fr-F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7.302197185003069E-2"/>
                  <c:y val="4.506458669588132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322-514B-9E2D-AB443F107DB8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Résidentiel!$A$5:$A$8</c:f>
              <c:strCache>
                <c:ptCount val="4"/>
                <c:pt idx="0">
                  <c:v>Électricité</c:v>
                </c:pt>
                <c:pt idx="1">
                  <c:v>Gaz naturel</c:v>
                </c:pt>
                <c:pt idx="2">
                  <c:v>Mazout</c:v>
                </c:pt>
                <c:pt idx="3">
                  <c:v>Bois</c:v>
                </c:pt>
              </c:strCache>
            </c:strRef>
          </c:cat>
          <c:val>
            <c:numRef>
              <c:f>Résidentiel!$G$5:$G$8</c:f>
              <c:numCache>
                <c:formatCode>#,##0</c:formatCode>
                <c:ptCount val="4"/>
                <c:pt idx="0">
                  <c:v>7596.7002786949515</c:v>
                </c:pt>
                <c:pt idx="1">
                  <c:v>64772.876829795001</c:v>
                </c:pt>
                <c:pt idx="2">
                  <c:v>230251.19486157529</c:v>
                </c:pt>
                <c:pt idx="3">
                  <c:v>6968.5111967133589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322-514B-9E2D-AB443F107D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fr-FR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09702537182853"/>
          <c:y val="0.13500279134388932"/>
          <c:w val="0.52305949256343642"/>
          <c:h val="0.71854660222237865"/>
        </c:manualLayout>
      </c:layout>
      <c:pieChart>
        <c:varyColors val="1"/>
        <c:ser>
          <c:idx val="0"/>
          <c:order val="0"/>
          <c:dLbls>
            <c:dLbl>
              <c:idx val="0"/>
              <c:layout>
                <c:manualLayout>
                  <c:x val="4.2066054243220068E-2"/>
                  <c:y val="1.592538308115088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A5CE-7D42-AFFD-723FCDE651EC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0.18050634295713225"/>
                  <c:y val="-2.1321180020347666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A5CE-7D42-AFFD-723FCDE651EC}"/>
                </c:ex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5.5380577427822035E-2"/>
                  <c:y val="-2.779896074270780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A5CE-7D42-AFFD-723FCDE651EC}"/>
                </c:ext>
                <c:ext xmlns:c15="http://schemas.microsoft.com/office/drawing/2012/chart" uri="{CE6537A1-D6FC-4f65-9D91-7224C49458BB}"/>
              </c:extLst>
            </c:dLbl>
            <c:dLbl>
              <c:idx val="15"/>
              <c:layout>
                <c:manualLayout>
                  <c:x val="-1.3145013123359578E-2"/>
                  <c:y val="-3.507628571583100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A5CE-7D42-AFFD-723FCDE651EC}"/>
                </c:ext>
                <c:ext xmlns:c15="http://schemas.microsoft.com/office/drawing/2012/chart" uri="{CE6537A1-D6FC-4f65-9D91-7224C49458BB}"/>
              </c:extLst>
            </c:dLbl>
            <c:dLbl>
              <c:idx val="17"/>
              <c:layout>
                <c:manualLayout>
                  <c:x val="3.5770766793516207E-2"/>
                  <c:y val="-3.375745417210439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2348-1E43-A0C7-A9D27BD1040B}"/>
                </c:ext>
                <c:ext xmlns:c15="http://schemas.microsoft.com/office/drawing/2012/chart" uri="{CE6537A1-D6FC-4f65-9D91-7224C49458BB}"/>
              </c:extLst>
            </c:dLbl>
            <c:dLbl>
              <c:idx val="20"/>
              <c:layout>
                <c:manualLayout>
                  <c:x val="-2.4315507436570492E-2"/>
                  <c:y val="1.645630930854596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A5CE-7D42-AFFD-723FCDE651EC}"/>
                </c:ext>
                <c:ext xmlns:c15="http://schemas.microsoft.com/office/drawing/2012/chart" uri="{CE6537A1-D6FC-4f65-9D91-7224C49458BB}"/>
              </c:extLst>
            </c:dLbl>
            <c:dLbl>
              <c:idx val="21"/>
              <c:layout>
                <c:manualLayout>
                  <c:x val="-8.6164023148727023E-2"/>
                  <c:y val="-2.037260923662113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A5CE-7D42-AFFD-723FCDE651EC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latin typeface="Arial" pitchFamily="34" charset="0"/>
                    <a:cs typeface="Arial" pitchFamily="34" charset="0"/>
                  </a:defRPr>
                </a:pPr>
                <a:endParaRPr lang="fr-F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CI!$A$114:$A$132</c:f>
              <c:strCache>
                <c:ptCount val="18"/>
                <c:pt idx="0">
                  <c:v>Chauffage</c:v>
                </c:pt>
                <c:pt idx="5">
                  <c:v>Chauffage de l'eau</c:v>
                </c:pt>
                <c:pt idx="10">
                  <c:v>Équipements auxiliaires</c:v>
                </c:pt>
                <c:pt idx="15">
                  <c:v>Moteurs auxiliaires</c:v>
                </c:pt>
                <c:pt idx="16">
                  <c:v>Éclairage</c:v>
                </c:pt>
                <c:pt idx="17">
                  <c:v>Climatisation</c:v>
                </c:pt>
              </c:strCache>
            </c:strRef>
          </c:cat>
          <c:val>
            <c:numRef>
              <c:f>CI!$F$114:$F$132</c:f>
              <c:numCache>
                <c:formatCode>#,##0</c:formatCode>
                <c:ptCount val="19"/>
                <c:pt idx="0">
                  <c:v>10805088868.028072</c:v>
                </c:pt>
                <c:pt idx="5">
                  <c:v>1587074652.0415955</c:v>
                </c:pt>
                <c:pt idx="10">
                  <c:v>3273153383.4956703</c:v>
                </c:pt>
                <c:pt idx="15">
                  <c:v>1123620023.5508773</c:v>
                </c:pt>
                <c:pt idx="16">
                  <c:v>2109906619.4312949</c:v>
                </c:pt>
                <c:pt idx="17">
                  <c:v>1100528726.4721875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A5CE-7D42-AFFD-723FCDE651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000000000000389" l="0.70000000000000062" r="0.70000000000000062" t="0.75000000000000389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509847333849329"/>
          <c:y val="0.18299789262923008"/>
          <c:w val="0.52763711054505369"/>
          <c:h val="0.71867856723405465"/>
        </c:manualLayout>
      </c:layout>
      <c:pieChart>
        <c:varyColors val="1"/>
        <c:ser>
          <c:idx val="0"/>
          <c:order val="0"/>
          <c:dLbls>
            <c:dLbl>
              <c:idx val="0"/>
              <c:layout>
                <c:manualLayout>
                  <c:x val="0.11400964682891566"/>
                  <c:y val="-2.024542740546205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4203-2C48-B1C0-9CDCA9CA33AC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1.3535871556351303E-2"/>
                  <c:y val="6.25410614194211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4203-2C48-B1C0-9CDCA9CA33AC}"/>
                </c:ex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2.8672111364017192E-2"/>
                  <c:y val="-2.217432043831685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4203-2C48-B1C0-9CDCA9CA33AC}"/>
                </c:ext>
                <c:ext xmlns:c15="http://schemas.microsoft.com/office/drawing/2012/chart" uri="{CE6537A1-D6FC-4f65-9D91-7224C49458BB}"/>
              </c:extLst>
            </c:dLbl>
            <c:dLbl>
              <c:idx val="15"/>
              <c:layout>
                <c:manualLayout>
                  <c:x val="1.1845040750509735E-2"/>
                  <c:y val="2.171299651301683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4203-2C48-B1C0-9CDCA9CA33AC}"/>
                </c:ext>
                <c:ext xmlns:c15="http://schemas.microsoft.com/office/drawing/2012/chart" uri="{CE6537A1-D6FC-4f65-9D91-7224C49458BB}"/>
              </c:extLst>
            </c:dLbl>
            <c:dLbl>
              <c:idx val="20"/>
              <c:layout>
                <c:manualLayout>
                  <c:x val="5.8001276453943533E-2"/>
                  <c:y val="-1.315170659080337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4203-2C48-B1C0-9CDCA9CA33AC}"/>
                </c:ext>
                <c:ext xmlns:c15="http://schemas.microsoft.com/office/drawing/2012/chart" uri="{CE6537A1-D6FC-4f65-9D91-7224C49458BB}"/>
              </c:extLst>
            </c:dLbl>
            <c:dLbl>
              <c:idx val="25"/>
              <c:layout>
                <c:manualLayout>
                  <c:x val="-4.8049762816465946E-2"/>
                  <c:y val="-3.447657985772628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4203-2C48-B1C0-9CDCA9CA33AC}"/>
                </c:ext>
                <c:ext xmlns:c15="http://schemas.microsoft.com/office/drawing/2012/chart" uri="{CE6537A1-D6FC-4f65-9D91-7224C49458BB}"/>
              </c:extLst>
            </c:dLbl>
            <c:dLbl>
              <c:idx val="30"/>
              <c:layout>
                <c:manualLayout>
                  <c:x val="-1.0667521401313128E-2"/>
                  <c:y val="1.016605096975469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4203-2C48-B1C0-9CDCA9CA33AC}"/>
                </c:ext>
                <c:ext xmlns:c15="http://schemas.microsoft.com/office/drawing/2012/chart" uri="{CE6537A1-D6FC-4f65-9D91-7224C49458BB}"/>
              </c:extLst>
            </c:dLbl>
            <c:dLbl>
              <c:idx val="35"/>
              <c:layout>
                <c:manualLayout>
                  <c:x val="2.1059607386865629E-3"/>
                  <c:y val="1.403255577557553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4203-2C48-B1C0-9CDCA9CA33AC}"/>
                </c:ext>
                <c:ext xmlns:c15="http://schemas.microsoft.com/office/drawing/2012/chart" uri="{CE6537A1-D6FC-4f65-9D91-7224C49458BB}"/>
              </c:extLst>
            </c:dLbl>
            <c:dLbl>
              <c:idx val="40"/>
              <c:layout>
                <c:manualLayout>
                  <c:x val="-2.2123319006173629E-3"/>
                  <c:y val="-1.190364458722663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4203-2C48-B1C0-9CDCA9CA33AC}"/>
                </c:ext>
                <c:ext xmlns:c15="http://schemas.microsoft.com/office/drawing/2012/chart" uri="{CE6537A1-D6FC-4f65-9D91-7224C49458BB}"/>
              </c:extLst>
            </c:dLbl>
            <c:dLbl>
              <c:idx val="45"/>
              <c:layout>
                <c:manualLayout>
                  <c:x val="-1.4042499515211087E-2"/>
                  <c:y val="-3.742314045941649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4203-2C48-B1C0-9CDCA9CA33AC}"/>
                </c:ex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latin typeface="Arial" pitchFamily="34" charset="0"/>
                    <a:cs typeface="Arial" pitchFamily="34" charset="0"/>
                  </a:defRPr>
                </a:pPr>
                <a:endParaRPr lang="fr-F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CI!$A$138:$A$192</c:f>
              <c:strCache>
                <c:ptCount val="51"/>
                <c:pt idx="0">
                  <c:v>Commerce de gros</c:v>
                </c:pt>
                <c:pt idx="5">
                  <c:v>Commerce de détail</c:v>
                </c:pt>
                <c:pt idx="10">
                  <c:v>Transport et entreposage</c:v>
                </c:pt>
                <c:pt idx="15">
                  <c:v>Ind. Information et culturelle</c:v>
                </c:pt>
                <c:pt idx="20">
                  <c:v>Bureaux</c:v>
                </c:pt>
                <c:pt idx="25">
                  <c:v>Services d'enseignements</c:v>
                </c:pt>
                <c:pt idx="30">
                  <c:v>Soins de santé et assistance sociale</c:v>
                </c:pt>
                <c:pt idx="35">
                  <c:v>Arts, spectacles et loisirs</c:v>
                </c:pt>
                <c:pt idx="40">
                  <c:v>Hébergement et restauration</c:v>
                </c:pt>
                <c:pt idx="45">
                  <c:v>Autres services</c:v>
                </c:pt>
                <c:pt idx="50">
                  <c:v>Autres secteurs</c:v>
                </c:pt>
              </c:strCache>
            </c:strRef>
          </c:cat>
          <c:val>
            <c:numRef>
              <c:f>CI!$F$138:$F$192</c:f>
              <c:numCache>
                <c:formatCode>#,##0</c:formatCode>
                <c:ptCount val="55"/>
                <c:pt idx="0">
                  <c:v>344310239.32403415</c:v>
                </c:pt>
                <c:pt idx="5">
                  <c:v>5033799400.732769</c:v>
                </c:pt>
                <c:pt idx="10">
                  <c:v>1118860255.02139</c:v>
                </c:pt>
                <c:pt idx="15">
                  <c:v>658379396.83913565</c:v>
                </c:pt>
                <c:pt idx="20">
                  <c:v>3495345951.3903151</c:v>
                </c:pt>
                <c:pt idx="25">
                  <c:v>2826215192.0242863</c:v>
                </c:pt>
                <c:pt idx="30">
                  <c:v>2054942073.7689347</c:v>
                </c:pt>
                <c:pt idx="35">
                  <c:v>738896762.28211689</c:v>
                </c:pt>
                <c:pt idx="40">
                  <c:v>1947240574.6822948</c:v>
                </c:pt>
                <c:pt idx="45">
                  <c:v>1234759182.3123081</c:v>
                </c:pt>
                <c:pt idx="50">
                  <c:v>546623244.64211142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A-4203-2C48-B1C0-9CDCA9CA33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000000000000389" l="0.70000000000000062" r="0.70000000000000062" t="0.75000000000000389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3209665211917771"/>
          <c:y val="0.13357998910477575"/>
          <c:w val="0.54428527588043241"/>
          <c:h val="0.76048230023556551"/>
        </c:manualLayout>
      </c:layout>
      <c:pieChart>
        <c:varyColors val="1"/>
        <c:ser>
          <c:idx val="0"/>
          <c:order val="0"/>
          <c:dLbls>
            <c:dLbl>
              <c:idx val="0"/>
              <c:layout>
                <c:manualLayout>
                  <c:x val="5.1322793358227287E-2"/>
                  <c:y val="2.515136401740251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8255-614A-BF9B-4FD399AB4B5D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5.9454209903553434E-2"/>
                  <c:y val="-1.497253806487882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8255-614A-BF9B-4FD399AB4B5D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7.0251330849333923E-2"/>
                  <c:y val="5.478923462293392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8255-614A-BF9B-4FD399AB4B5D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2.9804215322420669E-2"/>
                  <c:y val="9.6427709689535859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8255-614A-BF9B-4FD399AB4B5D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7.256964913557383E-2"/>
                  <c:y val="1.2157627527604956E-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8255-614A-BF9B-4FD399AB4B5D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latin typeface="Arial" pitchFamily="34" charset="0"/>
                    <a:cs typeface="Arial" pitchFamily="34" charset="0"/>
                  </a:defRPr>
                </a:pPr>
                <a:endParaRPr lang="fr-F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CI!$A$197:$A$201</c:f>
              <c:strCache>
                <c:ptCount val="5"/>
                <c:pt idx="0">
                  <c:v>Électricité</c:v>
                </c:pt>
                <c:pt idx="1">
                  <c:v>Gaz naturel </c:v>
                </c:pt>
                <c:pt idx="2">
                  <c:v>Mazout léger</c:v>
                </c:pt>
                <c:pt idx="3">
                  <c:v>Mazout lourd</c:v>
                </c:pt>
                <c:pt idx="4">
                  <c:v>Propane</c:v>
                </c:pt>
              </c:strCache>
            </c:strRef>
          </c:cat>
          <c:val>
            <c:numRef>
              <c:f>CI!$B$197:$B$201</c:f>
              <c:numCache>
                <c:formatCode>#,##0</c:formatCode>
                <c:ptCount val="5"/>
                <c:pt idx="0">
                  <c:v>12368670898.189852</c:v>
                </c:pt>
                <c:pt idx="1">
                  <c:v>5583987824</c:v>
                </c:pt>
                <c:pt idx="2">
                  <c:v>1405331616.0280206</c:v>
                </c:pt>
                <c:pt idx="3">
                  <c:v>70013874.211173445</c:v>
                </c:pt>
                <c:pt idx="4">
                  <c:v>571368060.59065151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8255-614A-BF9B-4FD399AB4B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000000000000389" l="0.70000000000000062" r="0.70000000000000062" t="0.75000000000000389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6881124234470732"/>
          <c:y val="0.1604355247554807"/>
          <c:w val="0.51793307086614149"/>
          <c:h val="0.7826544790632437"/>
        </c:manualLayout>
      </c:layout>
      <c:pieChart>
        <c:varyColors val="1"/>
        <c:ser>
          <c:idx val="0"/>
          <c:order val="0"/>
          <c:dLbls>
            <c:dLbl>
              <c:idx val="5"/>
              <c:layout>
                <c:manualLayout>
                  <c:x val="-5.8055227471566072E-2"/>
                  <c:y val="0.1546395580265964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75DA-8048-9AC4-F01B8F7E5E1A}"/>
                </c:ex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0.1967688101487314"/>
                  <c:y val="9.949449764217256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75DA-8048-9AC4-F01B8F7E5E1A}"/>
                </c:ext>
                <c:ext xmlns:c15="http://schemas.microsoft.com/office/drawing/2012/chart" uri="{CE6537A1-D6FC-4f65-9D91-7224C49458BB}"/>
              </c:extLst>
            </c:dLbl>
            <c:dLbl>
              <c:idx val="15"/>
              <c:numFmt formatCode="0.00%" sourceLinked="0"/>
              <c:spPr/>
              <c:txPr>
                <a:bodyPr/>
                <a:lstStyle/>
                <a:p>
                  <a:pPr>
                    <a:defRPr>
                      <a:latin typeface="Arial" pitchFamily="34" charset="0"/>
                      <a:cs typeface="Arial" pitchFamily="34" charset="0"/>
                    </a:defRPr>
                  </a:pPr>
                  <a:endParaRPr lang="fr-F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6"/>
              <c:numFmt formatCode="0.00%" sourceLinked="0"/>
              <c:spPr/>
              <c:txPr>
                <a:bodyPr/>
                <a:lstStyle/>
                <a:p>
                  <a:pPr>
                    <a:defRPr>
                      <a:latin typeface="Arial" pitchFamily="34" charset="0"/>
                      <a:cs typeface="Arial" pitchFamily="34" charset="0"/>
                    </a:defRPr>
                  </a:pPr>
                  <a:endParaRPr lang="fr-F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dLbl>
              <c:idx val="17"/>
              <c:layout>
                <c:manualLayout>
                  <c:x val="5.2601706036745424E-3"/>
                  <c:y val="-4.121500346370565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75DA-8048-9AC4-F01B8F7E5E1A}"/>
                </c:ext>
                <c:ext xmlns:c15="http://schemas.microsoft.com/office/drawing/2012/chart" uri="{CE6537A1-D6FC-4f65-9D91-7224C49458BB}"/>
              </c:extLst>
            </c:dLbl>
            <c:dLbl>
              <c:idx val="20"/>
              <c:numFmt formatCode="0.0%" sourceLinked="0"/>
              <c:spPr/>
              <c:txPr>
                <a:bodyPr/>
                <a:lstStyle/>
                <a:p>
                  <a:pPr>
                    <a:defRPr>
                      <a:latin typeface="Arial" pitchFamily="34" charset="0"/>
                      <a:cs typeface="Arial" pitchFamily="34" charset="0"/>
                    </a:defRPr>
                  </a:pPr>
                  <a:endParaRPr lang="fr-F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latin typeface="Arial" pitchFamily="34" charset="0"/>
                    <a:cs typeface="Arial" pitchFamily="34" charset="0"/>
                  </a:defRPr>
                </a:pPr>
                <a:endParaRPr lang="fr-F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CI!$A$209:$A$227</c:f>
              <c:strCache>
                <c:ptCount val="18"/>
                <c:pt idx="0">
                  <c:v>Chauffage</c:v>
                </c:pt>
                <c:pt idx="5">
                  <c:v>Chauffage de l'eau</c:v>
                </c:pt>
                <c:pt idx="10">
                  <c:v>Équipements auxiliaires</c:v>
                </c:pt>
                <c:pt idx="15">
                  <c:v>Moteurs auxiliaires</c:v>
                </c:pt>
                <c:pt idx="16">
                  <c:v>Éclairage</c:v>
                </c:pt>
                <c:pt idx="17">
                  <c:v>Climatisation</c:v>
                </c:pt>
              </c:strCache>
            </c:strRef>
          </c:cat>
          <c:val>
            <c:numRef>
              <c:f>CI!$G$209:$G$226</c:f>
              <c:numCache>
                <c:formatCode>#,##0</c:formatCode>
                <c:ptCount val="18"/>
                <c:pt idx="0">
                  <c:v>335028.74412903964</c:v>
                </c:pt>
                <c:pt idx="5">
                  <c:v>54092.792977917074</c:v>
                </c:pt>
                <c:pt idx="10">
                  <c:v>30888.205238095034</c:v>
                </c:pt>
                <c:pt idx="15">
                  <c:v>530.59834445458102</c:v>
                </c:pt>
                <c:pt idx="16">
                  <c:v>1486.0988731417033</c:v>
                </c:pt>
                <c:pt idx="17">
                  <c:v>3167.3772455251597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75DA-8048-9AC4-F01B8F7E5E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000000000000389" l="0.70000000000000062" r="0.70000000000000062" t="0.75000000000000389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0509847333849338"/>
          <c:y val="0.18299789262923019"/>
          <c:w val="0.52763711054505369"/>
          <c:h val="0.71867856723405465"/>
        </c:manualLayout>
      </c:layout>
      <c:pieChart>
        <c:varyColors val="1"/>
        <c:ser>
          <c:idx val="0"/>
          <c:order val="0"/>
          <c:dLbls>
            <c:dLbl>
              <c:idx val="0"/>
              <c:layout>
                <c:manualLayout>
                  <c:x val="0.11400964682891566"/>
                  <c:y val="-2.024542740546205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D040-2345-A638-44658B04D97F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1.3535871556351303E-2"/>
                  <c:y val="6.25410614194211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D040-2345-A638-44658B04D97F}"/>
                </c:ex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2.8672111364017192E-2"/>
                  <c:y val="-2.217432043831685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D040-2345-A638-44658B04D97F}"/>
                </c:ext>
                <c:ext xmlns:c15="http://schemas.microsoft.com/office/drawing/2012/chart" uri="{CE6537A1-D6FC-4f65-9D91-7224C49458BB}"/>
              </c:extLst>
            </c:dLbl>
            <c:dLbl>
              <c:idx val="15"/>
              <c:layout>
                <c:manualLayout>
                  <c:x val="1.1845040750509735E-2"/>
                  <c:y val="2.171299651301683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D040-2345-A638-44658B04D97F}"/>
                </c:ext>
                <c:ext xmlns:c15="http://schemas.microsoft.com/office/drawing/2012/chart" uri="{CE6537A1-D6FC-4f65-9D91-7224C49458BB}"/>
              </c:extLst>
            </c:dLbl>
            <c:dLbl>
              <c:idx val="20"/>
              <c:layout>
                <c:manualLayout>
                  <c:x val="5.8001276453943533E-2"/>
                  <c:y val="-1.315170659080337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D040-2345-A638-44658B04D97F}"/>
                </c:ext>
                <c:ext xmlns:c15="http://schemas.microsoft.com/office/drawing/2012/chart" uri="{CE6537A1-D6FC-4f65-9D91-7224C49458BB}"/>
              </c:extLst>
            </c:dLbl>
            <c:dLbl>
              <c:idx val="25"/>
              <c:layout>
                <c:manualLayout>
                  <c:x val="1.1237689656016471E-3"/>
                  <c:y val="-3.447646273533546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D040-2345-A638-44658B04D97F}"/>
                </c:ext>
                <c:ext xmlns:c15="http://schemas.microsoft.com/office/drawing/2012/chart" uri="{CE6537A1-D6FC-4f65-9D91-7224C49458BB}"/>
              </c:extLst>
            </c:dLbl>
            <c:dLbl>
              <c:idx val="30"/>
              <c:layout>
                <c:manualLayout>
                  <c:x val="-1.0667521401313136E-2"/>
                  <c:y val="1.016605096975469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D040-2345-A638-44658B04D97F}"/>
                </c:ext>
                <c:ext xmlns:c15="http://schemas.microsoft.com/office/drawing/2012/chart" uri="{CE6537A1-D6FC-4f65-9D91-7224C49458BB}"/>
              </c:extLst>
            </c:dLbl>
            <c:dLbl>
              <c:idx val="35"/>
              <c:layout>
                <c:manualLayout>
                  <c:x val="2.1059607386865646E-3"/>
                  <c:y val="1.403255577557553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D040-2345-A638-44658B04D97F}"/>
                </c:ext>
                <c:ext xmlns:c15="http://schemas.microsoft.com/office/drawing/2012/chart" uri="{CE6537A1-D6FC-4f65-9D91-7224C49458BB}"/>
              </c:extLst>
            </c:dLbl>
            <c:dLbl>
              <c:idx val="40"/>
              <c:layout>
                <c:manualLayout>
                  <c:x val="-2.2123319006173651E-3"/>
                  <c:y val="-1.190364458722663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D040-2345-A638-44658B04D97F}"/>
                </c:ext>
                <c:ext xmlns:c15="http://schemas.microsoft.com/office/drawing/2012/chart" uri="{CE6537A1-D6FC-4f65-9D91-7224C49458BB}"/>
              </c:extLst>
            </c:dLbl>
            <c:dLbl>
              <c:idx val="45"/>
              <c:layout>
                <c:manualLayout>
                  <c:x val="-1.4042499515211087E-2"/>
                  <c:y val="-3.742314045941651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9-D040-2345-A638-44658B04D97F}"/>
                </c:ex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latin typeface="Arial" pitchFamily="34" charset="0"/>
                    <a:cs typeface="Arial" pitchFamily="34" charset="0"/>
                  </a:defRPr>
                </a:pPr>
                <a:endParaRPr lang="fr-F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CI!$A$138:$A$192</c:f>
              <c:strCache>
                <c:ptCount val="51"/>
                <c:pt idx="0">
                  <c:v>Commerce de gros</c:v>
                </c:pt>
                <c:pt idx="5">
                  <c:v>Commerce de détail</c:v>
                </c:pt>
                <c:pt idx="10">
                  <c:v>Transport et entreposage</c:v>
                </c:pt>
                <c:pt idx="15">
                  <c:v>Ind. Information et culturelle</c:v>
                </c:pt>
                <c:pt idx="20">
                  <c:v>Bureaux</c:v>
                </c:pt>
                <c:pt idx="25">
                  <c:v>Services d'enseignements</c:v>
                </c:pt>
                <c:pt idx="30">
                  <c:v>Soins de santé et assistance sociale</c:v>
                </c:pt>
                <c:pt idx="35">
                  <c:v>Arts, spectacles et loisirs</c:v>
                </c:pt>
                <c:pt idx="40">
                  <c:v>Hébergement et restauration</c:v>
                </c:pt>
                <c:pt idx="45">
                  <c:v>Autres services</c:v>
                </c:pt>
                <c:pt idx="50">
                  <c:v>Autres secteurs</c:v>
                </c:pt>
              </c:strCache>
            </c:strRef>
          </c:cat>
          <c:val>
            <c:numRef>
              <c:f>CI!$G$232:$G$286</c:f>
              <c:numCache>
                <c:formatCode>#,##0</c:formatCode>
                <c:ptCount val="55"/>
                <c:pt idx="0">
                  <c:v>6300.9894928929389</c:v>
                </c:pt>
                <c:pt idx="5">
                  <c:v>85832.796465252584</c:v>
                </c:pt>
                <c:pt idx="10">
                  <c:v>32529.239542772793</c:v>
                </c:pt>
                <c:pt idx="15">
                  <c:v>15850.328183381438</c:v>
                </c:pt>
                <c:pt idx="20">
                  <c:v>59383.62461697634</c:v>
                </c:pt>
                <c:pt idx="25">
                  <c:v>78722.767078921548</c:v>
                </c:pt>
                <c:pt idx="30">
                  <c:v>50647.162971087382</c:v>
                </c:pt>
                <c:pt idx="35">
                  <c:v>16022.595111921848</c:v>
                </c:pt>
                <c:pt idx="40">
                  <c:v>37535.746562825436</c:v>
                </c:pt>
                <c:pt idx="45">
                  <c:v>26042.216521434962</c:v>
                </c:pt>
                <c:pt idx="50">
                  <c:v>16326.350260705967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A-D040-2345-A638-44658B04D9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000000000000411" l="0.70000000000000062" r="0.70000000000000062" t="0.750000000000004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/>
      <c:pieChart>
        <c:varyColors val="1"/>
        <c:ser>
          <c:idx val="0"/>
          <c:order val="0"/>
          <c:dLbls>
            <c:dLbl>
              <c:idx val="1"/>
              <c:layout>
                <c:manualLayout>
                  <c:x val="2.4176290463692046E-2"/>
                  <c:y val="3.825651325233359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0DA6-C84F-89C3-BF8E8DC11B87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5131233595800696E-2"/>
                  <c:y val="-1.547583794370376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0DA6-C84F-89C3-BF8E8DC11B87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8867016622922141E-2"/>
                  <c:y val="9.5274311121601226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0DA6-C84F-89C3-BF8E8DC11B87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latin typeface="Arial" pitchFamily="34" charset="0"/>
                    <a:cs typeface="Arial" pitchFamily="34" charset="0"/>
                  </a:defRPr>
                </a:pPr>
                <a:endParaRPr lang="fr-F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CI!$A$292:$A$296</c:f>
              <c:strCache>
                <c:ptCount val="5"/>
                <c:pt idx="0">
                  <c:v>Électricité</c:v>
                </c:pt>
                <c:pt idx="1">
                  <c:v>Gaz naturel </c:v>
                </c:pt>
                <c:pt idx="2">
                  <c:v>Mazout léger</c:v>
                </c:pt>
                <c:pt idx="3">
                  <c:v>Mazout lourd</c:v>
                </c:pt>
                <c:pt idx="4">
                  <c:v>Propane</c:v>
                </c:pt>
              </c:strCache>
            </c:strRef>
          </c:cat>
          <c:val>
            <c:numRef>
              <c:f>CI!$E$292:$E$296</c:f>
              <c:numCache>
                <c:formatCode>#,##0</c:formatCode>
                <c:ptCount val="5"/>
                <c:pt idx="0">
                  <c:v>5840.7612574785408</c:v>
                </c:pt>
                <c:pt idx="1">
                  <c:v>278957.66330603999</c:v>
                </c:pt>
                <c:pt idx="2">
                  <c:v>100381.95082586414</c:v>
                </c:pt>
                <c:pt idx="3">
                  <c:v>5371.9531736755998</c:v>
                </c:pt>
                <c:pt idx="4">
                  <c:v>34641.488245114968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0DA6-C84F-89C3-BF8E8DC11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000000000000389" l="0.70000000000000062" r="0.70000000000000062" t="0.75000000000000389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r>
              <a:rPr lang="fr-CA" sz="1600">
                <a:latin typeface="Times New Roman" panose="02020603050405020304" pitchFamily="18" charset="0"/>
                <a:cs typeface="Times New Roman" panose="02020603050405020304" pitchFamily="18" charset="0"/>
              </a:rPr>
              <a:t>Émissions</a:t>
            </a:r>
            <a:r>
              <a:rPr lang="fr-CA" sz="1600" baseline="0">
                <a:latin typeface="Times New Roman" panose="02020603050405020304" pitchFamily="18" charset="0"/>
                <a:cs typeface="Times New Roman" panose="02020603050405020304" pitchFamily="18" charset="0"/>
              </a:rPr>
              <a:t> de GES secteur agriculture (2017)</a:t>
            </a:r>
            <a:endParaRPr lang="fr-CA" sz="1600">
              <a:latin typeface="Times New Roman" panose="02020603050405020304" pitchFamily="18" charset="0"/>
              <a:cs typeface="Times New Roman" panose="02020603050405020304" pitchFamily="18" charset="0"/>
            </a:endParaRPr>
          </a:p>
        </c:rich>
      </c:tx>
      <c:layout>
        <c:manualLayout>
          <c:xMode val="edge"/>
          <c:yMode val="edge"/>
          <c:x val="0.17050094836505"/>
          <c:y val="5.48593319840766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6920397880401531"/>
          <c:y val="0.13510389518283891"/>
          <c:w val="0.48226073144374881"/>
          <c:h val="0.83507294338451465"/>
        </c:manualLayout>
      </c:layout>
      <c:pieChart>
        <c:varyColors val="1"/>
        <c:ser>
          <c:idx val="0"/>
          <c:order val="0"/>
          <c:dLbls>
            <c:dLbl>
              <c:idx val="2"/>
              <c:tx>
                <c:rich>
                  <a:bodyPr/>
                  <a:lstStyle/>
                  <a:p>
                    <a:r>
                      <a:rPr lang="en-US" baseline="0"/>
                      <a:t>Sols agricoles
</a:t>
                    </a:r>
                    <a:fld id="{3EDD92F4-EFAE-A44B-A244-B53FE9B98D9C}" type="PERCENTAGE">
                      <a:rPr lang="en-US" baseline="0"/>
                      <a:pPr/>
                      <a:t>[POURCENTAGE]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D7B9-7546-8F95-8446F736E4F1}"/>
                </c:ext>
                <c:ext xmlns:c15="http://schemas.microsoft.com/office/drawing/2012/chart" uri="{CE6537A1-D6FC-4f65-9D91-7224C49458BB}">
                  <c15:dlblFieldTable/>
                  <c15:showDataLabelsRange val="0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 b="0">
                    <a:solidFill>
                      <a:schemeClr val="bg1"/>
                    </a:solidFill>
                  </a:defRPr>
                </a:pPr>
                <a:endParaRPr lang="fr-F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Agricole!$A$5:$A$7</c:f>
              <c:strCache>
                <c:ptCount val="3"/>
                <c:pt idx="0">
                  <c:v>Fermentation entérique</c:v>
                </c:pt>
                <c:pt idx="1">
                  <c:v>Gestion du fumier</c:v>
                </c:pt>
                <c:pt idx="2">
                  <c:v>Sols agricole</c:v>
                </c:pt>
              </c:strCache>
            </c:strRef>
          </c:cat>
          <c:val>
            <c:numRef>
              <c:f>Agricole!$D$5:$D$7</c:f>
              <c:numCache>
                <c:formatCode>#\ ##0.0</c:formatCode>
                <c:ptCount val="3"/>
                <c:pt idx="0">
                  <c:v>9546.0424999999996</c:v>
                </c:pt>
                <c:pt idx="1">
                  <c:v>3435.7973000806578</c:v>
                </c:pt>
                <c:pt idx="2">
                  <c:v>2305.7130053571427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E76-8D4A-B8FD-3D6E560D0A31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spPr>
    <a:noFill/>
    <a:ln>
      <a:noFill/>
    </a:ln>
  </c:spPr>
  <c:printSettings>
    <c:headerFooter/>
    <c:pageMargins b="0.75000000000000455" l="0.70000000000000062" r="0.70000000000000062" t="0.750000000000004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8252582063605691E-2"/>
          <c:y val="3.1056005959144532E-2"/>
          <c:w val="0.66266516685414323"/>
          <c:h val="0.8988694232408839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Sommaire!$A$8</c:f>
              <c:strCache>
                <c:ptCount val="1"/>
                <c:pt idx="0">
                  <c:v>Matières résiduelles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Sommaire!$B$5:$E$5</c:f>
              <c:numCache>
                <c:formatCode>General</c:formatCode>
                <c:ptCount val="4"/>
                <c:pt idx="0">
                  <c:v>1990</c:v>
                </c:pt>
                <c:pt idx="1">
                  <c:v>2006</c:v>
                </c:pt>
                <c:pt idx="2">
                  <c:v>2010</c:v>
                </c:pt>
                <c:pt idx="3">
                  <c:v>2017</c:v>
                </c:pt>
              </c:numCache>
            </c:numRef>
          </c:cat>
          <c:val>
            <c:numRef>
              <c:f>Sommaire!$B$8:$E$8</c:f>
              <c:numCache>
                <c:formatCode>#,##0</c:formatCode>
                <c:ptCount val="4"/>
                <c:pt idx="0">
                  <c:v>164.25</c:v>
                </c:pt>
                <c:pt idx="1">
                  <c:v>143.733</c:v>
                </c:pt>
                <c:pt idx="2">
                  <c:v>145.50399999999999</c:v>
                </c:pt>
                <c:pt idx="3">
                  <c:v>133.84399999999999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0CA-4949-A6EB-AD44BF562127}"/>
            </c:ext>
          </c:extLst>
        </c:ser>
        <c:ser>
          <c:idx val="4"/>
          <c:order val="1"/>
          <c:tx>
            <c:strRef>
              <c:f>Sommaire!$A$9</c:f>
              <c:strCache>
                <c:ptCount val="1"/>
                <c:pt idx="0">
                  <c:v>Immeubles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Sommaire!$B$5:$E$5</c:f>
              <c:numCache>
                <c:formatCode>General</c:formatCode>
                <c:ptCount val="4"/>
                <c:pt idx="0">
                  <c:v>1990</c:v>
                </c:pt>
                <c:pt idx="1">
                  <c:v>2006</c:v>
                </c:pt>
                <c:pt idx="2">
                  <c:v>2010</c:v>
                </c:pt>
                <c:pt idx="3">
                  <c:v>2017</c:v>
                </c:pt>
              </c:numCache>
            </c:numRef>
          </c:cat>
          <c:val>
            <c:numRef>
              <c:f>Sommaire!$B$9:$E$9</c:f>
              <c:numCache>
                <c:formatCode>#,##0</c:formatCode>
                <c:ptCount val="4"/>
                <c:pt idx="0">
                  <c:v>10.813000000000001</c:v>
                </c:pt>
                <c:pt idx="1">
                  <c:v>13.9</c:v>
                </c:pt>
                <c:pt idx="2">
                  <c:v>15.036</c:v>
                </c:pt>
                <c:pt idx="3">
                  <c:v>16.073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F0CA-4949-A6EB-AD44BF562127}"/>
            </c:ext>
          </c:extLst>
        </c:ser>
        <c:ser>
          <c:idx val="5"/>
          <c:order val="2"/>
          <c:tx>
            <c:strRef>
              <c:f>Sommaire!$A$10</c:f>
              <c:strCache>
                <c:ptCount val="1"/>
                <c:pt idx="0">
                  <c:v>Équipements motorisés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Sommaire!$B$5:$E$5</c:f>
              <c:numCache>
                <c:formatCode>General</c:formatCode>
                <c:ptCount val="4"/>
                <c:pt idx="0">
                  <c:v>1990</c:v>
                </c:pt>
                <c:pt idx="1">
                  <c:v>2006</c:v>
                </c:pt>
                <c:pt idx="2">
                  <c:v>2010</c:v>
                </c:pt>
                <c:pt idx="3">
                  <c:v>2017</c:v>
                </c:pt>
              </c:numCache>
            </c:numRef>
          </c:cat>
          <c:val>
            <c:numRef>
              <c:f>Sommaire!$B$10:$E$10</c:f>
              <c:numCache>
                <c:formatCode>#,##0</c:formatCode>
                <c:ptCount val="4"/>
                <c:pt idx="0">
                  <c:v>16.359000000000002</c:v>
                </c:pt>
                <c:pt idx="1">
                  <c:v>28.038</c:v>
                </c:pt>
                <c:pt idx="2">
                  <c:v>29.146999999999998</c:v>
                </c:pt>
                <c:pt idx="3">
                  <c:v>31.003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F0CA-4949-A6EB-AD44BF562127}"/>
            </c:ext>
          </c:extLst>
        </c:ser>
        <c:ser>
          <c:idx val="6"/>
          <c:order val="3"/>
          <c:tx>
            <c:strRef>
              <c:f>Sommaire!$A$11</c:f>
              <c:strCache>
                <c:ptCount val="1"/>
                <c:pt idx="0">
                  <c:v>RTC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Sommaire!$B$5:$E$5</c:f>
              <c:numCache>
                <c:formatCode>General</c:formatCode>
                <c:ptCount val="4"/>
                <c:pt idx="0">
                  <c:v>1990</c:v>
                </c:pt>
                <c:pt idx="1">
                  <c:v>2006</c:v>
                </c:pt>
                <c:pt idx="2">
                  <c:v>2010</c:v>
                </c:pt>
                <c:pt idx="3">
                  <c:v>2017</c:v>
                </c:pt>
              </c:numCache>
            </c:numRef>
          </c:cat>
          <c:val>
            <c:numRef>
              <c:f>Sommaire!$B$11:$E$11</c:f>
              <c:numCache>
                <c:formatCode>#,##0</c:formatCode>
                <c:ptCount val="4"/>
                <c:pt idx="0">
                  <c:v>41.250999999999998</c:v>
                </c:pt>
                <c:pt idx="1">
                  <c:v>34.773000000000003</c:v>
                </c:pt>
                <c:pt idx="2">
                  <c:v>41.956000000000003</c:v>
                </c:pt>
                <c:pt idx="3">
                  <c:v>42.396000000000001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F0CA-4949-A6EB-AD44BF5621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15100136"/>
        <c:axId val="415096216"/>
      </c:barChart>
      <c:catAx>
        <c:axId val="4151001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15096216"/>
        <c:crosses val="autoZero"/>
        <c:auto val="1"/>
        <c:lblAlgn val="ctr"/>
        <c:lblOffset val="100"/>
        <c:noMultiLvlLbl val="0"/>
      </c:catAx>
      <c:valAx>
        <c:axId val="4150962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Émissions de GES (ktonnes éq. CO</a:t>
                </a:r>
                <a:r>
                  <a:rPr lang="fr-FR" baseline="-25000"/>
                  <a:t>2</a:t>
                </a:r>
                <a:r>
                  <a:rPr lang="fr-FR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1510013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1791413059668999"/>
          <c:y val="0.16901961634960919"/>
          <c:w val="0.53286058420779558"/>
          <c:h val="0.75011503727323525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0-82ED-C74D-807C-EF89449D0B5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82ED-C74D-807C-EF89449D0B5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82ED-C74D-807C-EF89449D0B5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82ED-C74D-807C-EF89449D0B5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4-82ED-C74D-807C-EF89449D0B56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82ED-C74D-807C-EF89449D0B56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6-82ED-C74D-807C-EF89449D0B56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82ED-C74D-807C-EF89449D0B56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>
                <a:noFill/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8-82ED-C74D-807C-EF89449D0B56}"/>
              </c:ext>
            </c:extLst>
          </c:dPt>
          <c:dLbls>
            <c:dLbl>
              <c:idx val="0"/>
              <c:layout>
                <c:manualLayout>
                  <c:x val="3.8563127311146327E-2"/>
                  <c:y val="2.9188201695052435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82ED-C74D-807C-EF89449D0B56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3.7197299624393075E-2"/>
                  <c:y val="8.2599697064298407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82ED-C74D-807C-EF89449D0B56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4.7661165641965965E-3"/>
                  <c:y val="4.956710989638700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82ED-C74D-807C-EF89449D0B56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0.14436793657528149"/>
                  <c:y val="-0.2655659232023309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bg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fr-F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82ED-C74D-807C-EF89449D0B56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0.17824142822083849"/>
                  <c:y val="0.12289800779307868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bg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fr-F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82ED-C74D-807C-EF89449D0B56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0.1596655727067397"/>
                  <c:y val="0.10834021297998543"/>
                </c:manualLayout>
              </c:layout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chemeClr val="tx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fr-F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82ED-C74D-807C-EF89449D0B56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0.12983915045484609"/>
                  <c:y val="-2.8905153375651832E-2"/>
                </c:manualLayout>
              </c:layout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chemeClr val="tx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fr-F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82ED-C74D-807C-EF89449D0B56}"/>
                </c:ex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3.1246490385215321E-4"/>
                  <c:y val="-6.7506561679790023E-2"/>
                </c:manualLayout>
              </c:layout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chemeClr val="tx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fr-F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82ED-C74D-807C-EF89449D0B56}"/>
                </c:ex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0.10639979035901019"/>
                  <c:y val="-5.7786488142726654E-2"/>
                </c:manualLayout>
              </c:layout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chemeClr val="tx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fr-FR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8-82ED-C74D-807C-EF89449D0B56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fr-F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Sommaire!$A$14:$A$22</c:f>
              <c:strCache>
                <c:ptCount val="9"/>
                <c:pt idx="0">
                  <c:v>Résidentiel</c:v>
                </c:pt>
                <c:pt idx="1">
                  <c:v>C&amp;I</c:v>
                </c:pt>
                <c:pt idx="2">
                  <c:v>Industriel</c:v>
                </c:pt>
                <c:pt idx="3">
                  <c:v>Transport routier</c:v>
                </c:pt>
                <c:pt idx="4">
                  <c:v>Transport hors route</c:v>
                </c:pt>
                <c:pt idx="5">
                  <c:v>Matières résiduelles</c:v>
                </c:pt>
                <c:pt idx="6">
                  <c:v>Agriculture</c:v>
                </c:pt>
                <c:pt idx="7">
                  <c:v>Eaux usées</c:v>
                </c:pt>
                <c:pt idx="8">
                  <c:v>Halocarbures et autres produits</c:v>
                </c:pt>
              </c:strCache>
            </c:strRef>
          </c:cat>
          <c:val>
            <c:numRef>
              <c:f>Sommaire!$E$14:$E$22</c:f>
              <c:numCache>
                <c:formatCode>#,##0</c:formatCode>
                <c:ptCount val="9"/>
                <c:pt idx="0">
                  <c:v>309.58928316677861</c:v>
                </c:pt>
                <c:pt idx="1">
                  <c:v>409.12081680817323</c:v>
                </c:pt>
                <c:pt idx="2">
                  <c:v>70.279256809750009</c:v>
                </c:pt>
                <c:pt idx="3">
                  <c:v>1972.1695172916004</c:v>
                </c:pt>
                <c:pt idx="4">
                  <c:v>899.92294696046304</c:v>
                </c:pt>
                <c:pt idx="5">
                  <c:v>15.244449742897006</c:v>
                </c:pt>
                <c:pt idx="6">
                  <c:v>15.287552805437802</c:v>
                </c:pt>
                <c:pt idx="7" formatCode="#\ ##0.0">
                  <c:v>0.86748353999999972</c:v>
                </c:pt>
                <c:pt idx="8">
                  <c:v>224.53200888991515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9-82ED-C74D-807C-EF89449D0B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Sommaire!$A$14</c:f>
              <c:strCache>
                <c:ptCount val="1"/>
                <c:pt idx="0">
                  <c:v>Résidentiel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Sommaire!$B$5:$E$5</c:f>
              <c:numCache>
                <c:formatCode>General</c:formatCode>
                <c:ptCount val="4"/>
                <c:pt idx="0">
                  <c:v>1990</c:v>
                </c:pt>
                <c:pt idx="1">
                  <c:v>2006</c:v>
                </c:pt>
                <c:pt idx="2">
                  <c:v>2010</c:v>
                </c:pt>
                <c:pt idx="3">
                  <c:v>2017</c:v>
                </c:pt>
              </c:numCache>
            </c:numRef>
          </c:cat>
          <c:val>
            <c:numRef>
              <c:f>Sommaire!$B$14:$E$14</c:f>
              <c:numCache>
                <c:formatCode>#,##0</c:formatCode>
                <c:ptCount val="4"/>
                <c:pt idx="0">
                  <c:v>842</c:v>
                </c:pt>
                <c:pt idx="1">
                  <c:v>714</c:v>
                </c:pt>
                <c:pt idx="2">
                  <c:v>393.63968332123545</c:v>
                </c:pt>
                <c:pt idx="3">
                  <c:v>309.58928316677861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6D6-A143-90AD-786BAE764481}"/>
            </c:ext>
          </c:extLst>
        </c:ser>
        <c:ser>
          <c:idx val="1"/>
          <c:order val="1"/>
          <c:tx>
            <c:strRef>
              <c:f>Sommaire!$A$15</c:f>
              <c:strCache>
                <c:ptCount val="1"/>
                <c:pt idx="0">
                  <c:v>C&amp;I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Sommaire!$B$5:$E$5</c:f>
              <c:numCache>
                <c:formatCode>General</c:formatCode>
                <c:ptCount val="4"/>
                <c:pt idx="0">
                  <c:v>1990</c:v>
                </c:pt>
                <c:pt idx="1">
                  <c:v>2006</c:v>
                </c:pt>
                <c:pt idx="2">
                  <c:v>2010</c:v>
                </c:pt>
                <c:pt idx="3">
                  <c:v>2017</c:v>
                </c:pt>
              </c:numCache>
            </c:numRef>
          </c:cat>
          <c:val>
            <c:numRef>
              <c:f>Sommaire!$B$15:$E$15</c:f>
              <c:numCache>
                <c:formatCode>#,##0</c:formatCode>
                <c:ptCount val="4"/>
                <c:pt idx="0">
                  <c:v>407</c:v>
                </c:pt>
                <c:pt idx="1">
                  <c:v>674</c:v>
                </c:pt>
                <c:pt idx="2">
                  <c:v>569.44688882487162</c:v>
                </c:pt>
                <c:pt idx="3">
                  <c:v>409.12081680817323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96D6-A143-90AD-786BAE764481}"/>
            </c:ext>
          </c:extLst>
        </c:ser>
        <c:ser>
          <c:idx val="2"/>
          <c:order val="2"/>
          <c:tx>
            <c:strRef>
              <c:f>Sommaire!$A$16</c:f>
              <c:strCache>
                <c:ptCount val="1"/>
                <c:pt idx="0">
                  <c:v>Industriel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Sommaire!$B$5:$E$5</c:f>
              <c:numCache>
                <c:formatCode>General</c:formatCode>
                <c:ptCount val="4"/>
                <c:pt idx="0">
                  <c:v>1990</c:v>
                </c:pt>
                <c:pt idx="1">
                  <c:v>2006</c:v>
                </c:pt>
                <c:pt idx="2">
                  <c:v>2010</c:v>
                </c:pt>
                <c:pt idx="3">
                  <c:v>2017</c:v>
                </c:pt>
              </c:numCache>
            </c:numRef>
          </c:cat>
          <c:val>
            <c:numRef>
              <c:f>Sommaire!$B$16:$E$16</c:f>
              <c:numCache>
                <c:formatCode>#,##0</c:formatCode>
                <c:ptCount val="4"/>
                <c:pt idx="0">
                  <c:v>547</c:v>
                </c:pt>
                <c:pt idx="1">
                  <c:v>601</c:v>
                </c:pt>
                <c:pt idx="2">
                  <c:v>61.628</c:v>
                </c:pt>
                <c:pt idx="3">
                  <c:v>70.279256809750009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96D6-A143-90AD-786BAE764481}"/>
            </c:ext>
          </c:extLst>
        </c:ser>
        <c:ser>
          <c:idx val="3"/>
          <c:order val="3"/>
          <c:tx>
            <c:strRef>
              <c:f>Sommaire!$A$17</c:f>
              <c:strCache>
                <c:ptCount val="1"/>
                <c:pt idx="0">
                  <c:v>Transport routier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numRef>
              <c:f>Sommaire!$B$5:$E$5</c:f>
              <c:numCache>
                <c:formatCode>General</c:formatCode>
                <c:ptCount val="4"/>
                <c:pt idx="0">
                  <c:v>1990</c:v>
                </c:pt>
                <c:pt idx="1">
                  <c:v>2006</c:v>
                </c:pt>
                <c:pt idx="2">
                  <c:v>2010</c:v>
                </c:pt>
                <c:pt idx="3">
                  <c:v>2017</c:v>
                </c:pt>
              </c:numCache>
            </c:numRef>
          </c:cat>
          <c:val>
            <c:numRef>
              <c:f>Sommaire!$B$17:$E$17</c:f>
              <c:numCache>
                <c:formatCode>#,##0</c:formatCode>
                <c:ptCount val="4"/>
                <c:pt idx="0">
                  <c:v>1273</c:v>
                </c:pt>
                <c:pt idx="1">
                  <c:v>1595</c:v>
                </c:pt>
                <c:pt idx="2">
                  <c:v>1776.5008927513534</c:v>
                </c:pt>
                <c:pt idx="3">
                  <c:v>1972.1695172916004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96D6-A143-90AD-786BAE764481}"/>
            </c:ext>
          </c:extLst>
        </c:ser>
        <c:ser>
          <c:idx val="4"/>
          <c:order val="4"/>
          <c:tx>
            <c:strRef>
              <c:f>Sommaire!$A$18</c:f>
              <c:strCache>
                <c:ptCount val="1"/>
                <c:pt idx="0">
                  <c:v>Transport hors route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Sommaire!$B$5:$E$5</c:f>
              <c:numCache>
                <c:formatCode>General</c:formatCode>
                <c:ptCount val="4"/>
                <c:pt idx="0">
                  <c:v>1990</c:v>
                </c:pt>
                <c:pt idx="1">
                  <c:v>2006</c:v>
                </c:pt>
                <c:pt idx="2">
                  <c:v>2010</c:v>
                </c:pt>
                <c:pt idx="3">
                  <c:v>2017</c:v>
                </c:pt>
              </c:numCache>
            </c:numRef>
          </c:cat>
          <c:val>
            <c:numRef>
              <c:f>Sommaire!$B$18:$E$18</c:f>
              <c:numCache>
                <c:formatCode>#,##0</c:formatCode>
                <c:ptCount val="4"/>
                <c:pt idx="0">
                  <c:v>347</c:v>
                </c:pt>
                <c:pt idx="1">
                  <c:v>393</c:v>
                </c:pt>
                <c:pt idx="2">
                  <c:v>997.19025640954999</c:v>
                </c:pt>
                <c:pt idx="3">
                  <c:v>899.92294696046304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96D6-A143-90AD-786BAE764481}"/>
            </c:ext>
          </c:extLst>
        </c:ser>
        <c:ser>
          <c:idx val="5"/>
          <c:order val="5"/>
          <c:tx>
            <c:strRef>
              <c:f>Sommaire!$A$19</c:f>
              <c:strCache>
                <c:ptCount val="1"/>
                <c:pt idx="0">
                  <c:v>Matières résiduelles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numRef>
              <c:f>Sommaire!$B$5:$E$5</c:f>
              <c:numCache>
                <c:formatCode>General</c:formatCode>
                <c:ptCount val="4"/>
                <c:pt idx="0">
                  <c:v>1990</c:v>
                </c:pt>
                <c:pt idx="1">
                  <c:v>2006</c:v>
                </c:pt>
                <c:pt idx="2">
                  <c:v>2010</c:v>
                </c:pt>
                <c:pt idx="3">
                  <c:v>2017</c:v>
                </c:pt>
              </c:numCache>
            </c:numRef>
          </c:cat>
          <c:val>
            <c:numRef>
              <c:f>Sommaire!$B$19:$E$19</c:f>
              <c:numCache>
                <c:formatCode>#,##0</c:formatCode>
                <c:ptCount val="4"/>
                <c:pt idx="0">
                  <c:v>5.67</c:v>
                </c:pt>
                <c:pt idx="1">
                  <c:v>18.879000000000001</c:v>
                </c:pt>
                <c:pt idx="2">
                  <c:v>12.805337784033483</c:v>
                </c:pt>
                <c:pt idx="3">
                  <c:v>15.244449742897006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96D6-A143-90AD-786BAE764481}"/>
            </c:ext>
          </c:extLst>
        </c:ser>
        <c:ser>
          <c:idx val="6"/>
          <c:order val="6"/>
          <c:tx>
            <c:strRef>
              <c:f>Sommaire!$A$20</c:f>
              <c:strCache>
                <c:ptCount val="1"/>
                <c:pt idx="0">
                  <c:v>Agriculture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Sommaire!$B$5:$E$5</c:f>
              <c:numCache>
                <c:formatCode>General</c:formatCode>
                <c:ptCount val="4"/>
                <c:pt idx="0">
                  <c:v>1990</c:v>
                </c:pt>
                <c:pt idx="1">
                  <c:v>2006</c:v>
                </c:pt>
                <c:pt idx="2">
                  <c:v>2010</c:v>
                </c:pt>
                <c:pt idx="3">
                  <c:v>2017</c:v>
                </c:pt>
              </c:numCache>
            </c:numRef>
          </c:cat>
          <c:val>
            <c:numRef>
              <c:f>Sommaire!$B$20:$E$20</c:f>
              <c:numCache>
                <c:formatCode>#,##0</c:formatCode>
                <c:ptCount val="4"/>
                <c:pt idx="0">
                  <c:v>15</c:v>
                </c:pt>
                <c:pt idx="1">
                  <c:v>16</c:v>
                </c:pt>
                <c:pt idx="2">
                  <c:v>15.271203943141352</c:v>
                </c:pt>
                <c:pt idx="3">
                  <c:v>15.287552805437802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6D6-A143-90AD-786BAE764481}"/>
            </c:ext>
          </c:extLst>
        </c:ser>
        <c:ser>
          <c:idx val="7"/>
          <c:order val="7"/>
          <c:tx>
            <c:strRef>
              <c:f>Sommaire!$A$21</c:f>
              <c:strCache>
                <c:ptCount val="1"/>
                <c:pt idx="0">
                  <c:v>Eaux usées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Sommaire!$B$5:$E$5</c:f>
              <c:numCache>
                <c:formatCode>General</c:formatCode>
                <c:ptCount val="4"/>
                <c:pt idx="0">
                  <c:v>1990</c:v>
                </c:pt>
                <c:pt idx="1">
                  <c:v>2006</c:v>
                </c:pt>
                <c:pt idx="2">
                  <c:v>2010</c:v>
                </c:pt>
                <c:pt idx="3">
                  <c:v>2017</c:v>
                </c:pt>
              </c:numCache>
            </c:numRef>
          </c:cat>
          <c:val>
            <c:numRef>
              <c:f>Sommaire!$B$21:$E$21</c:f>
              <c:numCache>
                <c:formatCode>#\ ##0.0</c:formatCode>
                <c:ptCount val="4"/>
                <c:pt idx="0">
                  <c:v>1.6279999999999999</c:v>
                </c:pt>
                <c:pt idx="1">
                  <c:v>0.92</c:v>
                </c:pt>
                <c:pt idx="2">
                  <c:v>0.54846449999999991</c:v>
                </c:pt>
                <c:pt idx="3">
                  <c:v>0.86748353999999972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6D6-A143-90AD-786BAE764481}"/>
            </c:ext>
          </c:extLst>
        </c:ser>
        <c:ser>
          <c:idx val="8"/>
          <c:order val="8"/>
          <c:tx>
            <c:strRef>
              <c:f>Sommaire!$A$22</c:f>
              <c:strCache>
                <c:ptCount val="1"/>
                <c:pt idx="0">
                  <c:v>Halocarbures et autres produits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Sommaire!$B$5:$E$5</c:f>
              <c:numCache>
                <c:formatCode>General</c:formatCode>
                <c:ptCount val="4"/>
                <c:pt idx="0">
                  <c:v>1990</c:v>
                </c:pt>
                <c:pt idx="1">
                  <c:v>2006</c:v>
                </c:pt>
                <c:pt idx="2">
                  <c:v>2010</c:v>
                </c:pt>
                <c:pt idx="3">
                  <c:v>2017</c:v>
                </c:pt>
              </c:numCache>
            </c:numRef>
          </c:cat>
          <c:val>
            <c:numRef>
              <c:f>Sommaire!$B$22:$E$22</c:f>
              <c:numCache>
                <c:formatCode>#\ ##0.0</c:formatCode>
                <c:ptCount val="4"/>
                <c:pt idx="0">
                  <c:v>3</c:v>
                </c:pt>
                <c:pt idx="1">
                  <c:v>3</c:v>
                </c:pt>
                <c:pt idx="2" formatCode="#,##0">
                  <c:v>107.83356044199232</c:v>
                </c:pt>
                <c:pt idx="3" formatCode="#,##0">
                  <c:v>224.53200888991515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96D6-A143-90AD-786BAE7644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15095040"/>
        <c:axId val="415098568"/>
      </c:barChart>
      <c:catAx>
        <c:axId val="415095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15098568"/>
        <c:crosses val="autoZero"/>
        <c:auto val="1"/>
        <c:lblAlgn val="ctr"/>
        <c:lblOffset val="100"/>
        <c:noMultiLvlLbl val="0"/>
      </c:catAx>
      <c:valAx>
        <c:axId val="415098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000" b="1" i="0" baseline="0"/>
                  <a:t>Émissions de GES (ktonnes éq. CO</a:t>
                </a:r>
                <a:r>
                  <a:rPr lang="fr-FR" sz="1000" b="1" i="0" baseline="-25000"/>
                  <a:t>2</a:t>
                </a:r>
                <a:r>
                  <a:rPr lang="fr-FR" sz="1000" b="1" i="0" baseline="0"/>
                  <a:t>)</a:t>
                </a:r>
                <a:endParaRPr lang="fr-FR" sz="10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41509504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155" l="0.70000000000000062" r="0.70000000000000062" t="0.75000000000000155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CA" sz="1800" b="1" i="0" baseline="0">
                <a:effectLst/>
              </a:rPr>
              <a:t>Inventaire global 2017: émissions du secteur collectif et corporatif (ktéq.CO</a:t>
            </a:r>
            <a:r>
              <a:rPr lang="fr-CA" sz="1800" b="1" i="0" baseline="-25000">
                <a:effectLst/>
              </a:rPr>
              <a:t>2</a:t>
            </a:r>
            <a:r>
              <a:rPr lang="fr-CA" sz="1800" b="1" i="0" baseline="0">
                <a:effectLst/>
              </a:rPr>
              <a:t>)</a:t>
            </a:r>
            <a:endParaRPr lang="fr-CA">
              <a:effectLst/>
            </a:endParaRPr>
          </a:p>
        </c:rich>
      </c:tx>
      <c:layout>
        <c:manualLayout>
          <c:xMode val="edge"/>
          <c:yMode val="edge"/>
          <c:x val="0.11829379687285524"/>
          <c:y val="2.872461006068509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1.4263074484944533E-2"/>
          <c:y val="2.7206551410373071E-2"/>
          <c:w val="0.96513470681458002"/>
          <c:h val="0.64687009665193129"/>
        </c:manualLayout>
      </c:layout>
      <c:ofPieChart>
        <c:ofPieType val="pie"/>
        <c:varyColors val="1"/>
        <c:ser>
          <c:idx val="0"/>
          <c:order val="0"/>
          <c:tx>
            <c:v>A</c:v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A440-2248-9305-0F772903BD8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2-8EE0-0C48-ABA6-9723A1FFBB6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A440-2248-9305-0F772903BD8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A440-2248-9305-0F772903BD8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A440-2248-9305-0F772903BD8B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A440-2248-9305-0F772903BD8B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A440-2248-9305-0F772903BD8B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4-8EE0-0C48-ABA6-9723A1FFBB65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A440-2248-9305-0F772903BD8B}"/>
              </c:ext>
            </c:extLst>
          </c:dPt>
          <c:dPt>
            <c:idx val="9"/>
            <c:bubble3D val="0"/>
            <c:explosion val="18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8EE0-0C48-ABA6-9723A1FFBB65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5-4B2A-434E-955B-A545743EFB70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7-4B2A-434E-955B-A545743EFB70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9-4B2A-434E-955B-A545743EFB70}"/>
              </c:ext>
            </c:extLst>
          </c:dPt>
          <c:dPt>
            <c:idx val="13"/>
            <c:bubble3D val="0"/>
            <c:spPr>
              <a:solidFill>
                <a:schemeClr val="accent2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4-A440-2248-9305-0F772903BD8B}"/>
              </c:ext>
            </c:extLst>
          </c:dPt>
          <c:dPt>
            <c:idx val="14"/>
            <c:bubble3D val="0"/>
            <c:spPr>
              <a:solidFill>
                <a:schemeClr val="accent3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D-4B2A-434E-955B-A545743EFB70}"/>
              </c:ext>
            </c:extLst>
          </c:dPt>
          <c:dPt>
            <c:idx val="15"/>
            <c:bubble3D val="0"/>
            <c:spPr>
              <a:solidFill>
                <a:schemeClr val="accent4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F-4B2A-434E-955B-A545743EFB70}"/>
              </c:ext>
            </c:extLst>
          </c:dPt>
          <c:dPt>
            <c:idx val="16"/>
            <c:bubble3D val="0"/>
            <c:spPr>
              <a:solidFill>
                <a:schemeClr val="accent5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21-4B2A-434E-955B-A545743EFB70}"/>
              </c:ext>
            </c:extLst>
          </c:dPt>
          <c:dPt>
            <c:idx val="17"/>
            <c:bubble3D val="0"/>
            <c:explosion val="18"/>
            <c:spPr>
              <a:solidFill>
                <a:schemeClr val="accent6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5-A440-2248-9305-0F772903BD8B}"/>
              </c:ext>
            </c:extLst>
          </c:dPt>
          <c:dLbls>
            <c:dLbl>
              <c:idx val="9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8EE0-0C48-ABA6-9723A1FFBB65}"/>
                </c:ext>
                <c:ext xmlns:c15="http://schemas.microsoft.com/office/drawing/2012/chart" uri="{CE6537A1-D6FC-4f65-9D91-7224C49458BB}"/>
              </c:extLst>
            </c:dLbl>
            <c:dLbl>
              <c:idx val="10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5-4B2A-434E-955B-A545743EFB70}"/>
                </c:ext>
                <c:ext xmlns:c15="http://schemas.microsoft.com/office/drawing/2012/chart" uri="{CE6537A1-D6FC-4f65-9D91-7224C49458BB}"/>
              </c:extLst>
            </c:dLbl>
            <c:dLbl>
              <c:idx val="11"/>
              <c:delete val="1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17-4B2A-434E-955B-A545743EFB70}"/>
                </c:ext>
                <c:ext xmlns:c15="http://schemas.microsoft.com/office/drawing/2012/chart" uri="{CE6537A1-D6FC-4f65-9D91-7224C49458BB}"/>
              </c:extLst>
            </c:dLbl>
            <c:dLbl>
              <c:idx val="13"/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bg1"/>
                      </a:solidFill>
                      <a:latin typeface="Times New Roman" panose="02020603050405020304" pitchFamily="18" charset="0"/>
                      <a:ea typeface="+mn-ea"/>
                      <a:cs typeface="Times New Roman" panose="02020603050405020304" pitchFamily="18" charset="0"/>
                    </a:defRPr>
                  </a:pPr>
                  <a:endParaRPr lang="fr-F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bg1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(Sommaire!$A$8:$A$11,Sommaire!$A$14:$A$22)</c:f>
              <c:strCache>
                <c:ptCount val="13"/>
                <c:pt idx="0">
                  <c:v>Matières résiduelles</c:v>
                </c:pt>
                <c:pt idx="1">
                  <c:v>Immeubles</c:v>
                </c:pt>
                <c:pt idx="2">
                  <c:v>Équipements motorisés</c:v>
                </c:pt>
                <c:pt idx="3">
                  <c:v>RTC</c:v>
                </c:pt>
                <c:pt idx="4">
                  <c:v>Résidentiel</c:v>
                </c:pt>
                <c:pt idx="5">
                  <c:v>C&amp;I</c:v>
                </c:pt>
                <c:pt idx="6">
                  <c:v>Industriel</c:v>
                </c:pt>
                <c:pt idx="7">
                  <c:v>Transport routier</c:v>
                </c:pt>
                <c:pt idx="8">
                  <c:v>Transport hors route</c:v>
                </c:pt>
                <c:pt idx="9">
                  <c:v>Matières résiduelles</c:v>
                </c:pt>
                <c:pt idx="10">
                  <c:v>Agriculture</c:v>
                </c:pt>
                <c:pt idx="11">
                  <c:v>Eaux usées</c:v>
                </c:pt>
                <c:pt idx="12">
                  <c:v>Halocarbures et autres produits</c:v>
                </c:pt>
              </c:strCache>
            </c:strRef>
          </c:cat>
          <c:val>
            <c:numRef>
              <c:f>(Sommaire!$E$8:$E$11,Sommaire!$E$14:$E$22)</c:f>
              <c:numCache>
                <c:formatCode>#,##0</c:formatCode>
                <c:ptCount val="13"/>
                <c:pt idx="0">
                  <c:v>133.84399999999999</c:v>
                </c:pt>
                <c:pt idx="1">
                  <c:v>16.073</c:v>
                </c:pt>
                <c:pt idx="2">
                  <c:v>31.003</c:v>
                </c:pt>
                <c:pt idx="3">
                  <c:v>42.396000000000001</c:v>
                </c:pt>
                <c:pt idx="4">
                  <c:v>309.58928316677861</c:v>
                </c:pt>
                <c:pt idx="5">
                  <c:v>409.12081680817323</c:v>
                </c:pt>
                <c:pt idx="6">
                  <c:v>70.279256809750009</c:v>
                </c:pt>
                <c:pt idx="7">
                  <c:v>1972.1695172916004</c:v>
                </c:pt>
                <c:pt idx="8">
                  <c:v>899.92294696046304</c:v>
                </c:pt>
                <c:pt idx="9">
                  <c:v>15.244449742897006</c:v>
                </c:pt>
                <c:pt idx="10">
                  <c:v>15.287552805437802</c:v>
                </c:pt>
                <c:pt idx="11" formatCode="#\ ##0.0">
                  <c:v>0.86748353999999972</c:v>
                </c:pt>
                <c:pt idx="12">
                  <c:v>224.53200888991515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EE0-0C48-ABA6-9723A1FFBB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00"/>
        <c:splitType val="cust"/>
        <c:custSplit>
          <c:secondPiePt val="0"/>
          <c:secondPiePt val="1"/>
          <c:secondPiePt val="2"/>
          <c:secondPiePt val="3"/>
        </c:custSplit>
        <c:secondPieSize val="75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ayout>
        <c:manualLayout>
          <c:xMode val="edge"/>
          <c:yMode val="edge"/>
          <c:x val="0.28545665547749477"/>
          <c:y val="0.6994219828375503"/>
          <c:w val="0.43403621298526279"/>
          <c:h val="0.2971464112294703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fr-FR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  <c:userShapes r:id="rId3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CA" b="1"/>
              <a:t>Inventaire global 2017: émissions du secteur collectif et corporatif (ktéq.CO</a:t>
            </a:r>
            <a:r>
              <a:rPr lang="fr-CA" b="1" baseline="-25000"/>
              <a:t>2</a:t>
            </a:r>
            <a:r>
              <a:rPr lang="fr-CA" b="1"/>
              <a:t>)</a:t>
            </a:r>
          </a:p>
        </c:rich>
      </c:tx>
      <c:layout>
        <c:manualLayout>
          <c:xMode val="edge"/>
          <c:yMode val="edge"/>
          <c:x val="0.11962071519023394"/>
          <c:y val="0.1244255532601593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pieChart>
        <c:varyColors val="1"/>
        <c:ser>
          <c:idx val="0"/>
          <c:order val="0"/>
          <c:explosion val="29"/>
          <c:dPt>
            <c:idx val="0"/>
            <c:bubble3D val="0"/>
            <c:explosion val="6"/>
            <c:spPr>
              <a:solidFill>
                <a:schemeClr val="tx2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B196-7E41-80F8-98BD9ADCDF70}"/>
              </c:ext>
            </c:extLst>
          </c:dPt>
          <c:dPt>
            <c:idx val="1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B196-7E41-80F8-98BD9ADCDF70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B196-7E41-80F8-98BD9ADCDF70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B196-7E41-80F8-98BD9ADCDF70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B196-7E41-80F8-98BD9ADCDF70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B196-7E41-80F8-98BD9ADCDF70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B196-7E41-80F8-98BD9ADCDF70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B196-7E41-80F8-98BD9ADCDF70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B196-7E41-80F8-98BD9ADCDF70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B196-7E41-80F8-98BD9ADCDF70}"/>
              </c:ext>
            </c:extLst>
          </c:dPt>
          <c:dLbls>
            <c:dLbl>
              <c:idx val="0"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2BD86A3A-8688-4A84-878C-F315CE517A8C}" type="CATEGORYNAME">
                      <a:rPr lang="en-US"/>
                      <a:pPr>
                        <a:defRPr>
                          <a:solidFill>
                            <a:schemeClr val="tx1"/>
                          </a:solidFill>
                        </a:defRPr>
                      </a:pPr>
                      <a:t>[NOM DE CATÉGORIE]</a:t>
                    </a:fld>
                    <a:r>
                      <a:rPr lang="en-US" baseline="0"/>
                      <a:t> </a:t>
                    </a:r>
                    <a:br>
                      <a:rPr lang="en-US" baseline="0"/>
                    </a:br>
                    <a:fld id="{F0C838D1-8675-441F-AC60-3979F553551F}" type="VALUE">
                      <a:rPr lang="en-US" baseline="0"/>
                      <a:pPr>
                        <a:defRPr>
                          <a:solidFill>
                            <a:schemeClr val="tx1"/>
                          </a:solidFill>
                        </a:defRPr>
                      </a:pPr>
                      <a:t>[VALEUR]</a:t>
                    </a:fld>
                    <a:r>
                      <a:rPr lang="en-US" baseline="0"/>
                      <a:t> (</a:t>
                    </a:r>
                    <a:fld id="{757DB07C-38B3-4955-B075-74ECFB040724}" type="PERCENTAGE">
                      <a:rPr lang="en-US" baseline="0"/>
                      <a:pPr>
                        <a:defRPr>
                          <a:solidFill>
                            <a:schemeClr val="tx1"/>
                          </a:solidFill>
                        </a:defRPr>
                      </a:pPr>
                      <a:t>[POURCENTAGE]</a:t>
                    </a:fld>
                    <a:r>
                      <a:rPr lang="en-US" baseline="0"/>
                      <a:t>)</a:t>
                    </a:r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showLegendKey val="0"/>
              <c:showVal val="1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B196-7E41-80F8-98BD9ADCDF70}"/>
                </c:ext>
                <c:ext xmlns:c15="http://schemas.microsoft.com/office/drawing/2012/chart" uri="{CE6537A1-D6FC-4f65-9D91-7224C49458BB}">
                  <c15:dlblFieldTable/>
                  <c15:showDataLabelsRange val="0"/>
                </c:ext>
              </c:extLst>
            </c:dLbl>
            <c:dLbl>
              <c:idx val="1"/>
              <c:layout>
                <c:manualLayout>
                  <c:x val="0.18335440958027158"/>
                  <c:y val="7.9360574479740741E-4"/>
                </c:manualLayout>
              </c:layout>
              <c:tx>
                <c:rich>
                  <a:bodyPr/>
                  <a:lstStyle/>
                  <a:p>
                    <a:fld id="{10F2D188-A3E2-428B-B795-C51472F41A4C}" type="CATEGORYNAME">
                      <a:rPr lang="en-US"/>
                      <a:pPr/>
                      <a:t>[NOM DE CATÉGORIE]</a:t>
                    </a:fld>
                    <a:r>
                      <a:rPr lang="en-US"/>
                      <a:t/>
                    </a:r>
                    <a:br>
                      <a:rPr lang="en-US"/>
                    </a:br>
                    <a:r>
                      <a:rPr lang="en-US" baseline="0"/>
                      <a:t> </a:t>
                    </a:r>
                    <a:fld id="{76EB10DD-62D1-494C-8A31-AB0C542D8F58}" type="VALUE">
                      <a:rPr lang="en-US" baseline="0"/>
                      <a:pPr/>
                      <a:t>[VALEUR]</a:t>
                    </a:fld>
                    <a:r>
                      <a:rPr lang="en-US" baseline="0"/>
                      <a:t> (</a:t>
                    </a:r>
                    <a:fld id="{BEC56321-7EF4-420E-8FF5-230E186E423D}" type="PERCENTAGE">
                      <a:rPr lang="en-US" baseline="0"/>
                      <a:pPr/>
                      <a:t>[POURCENTAGE]</a:t>
                    </a:fld>
                    <a:r>
                      <a:rPr lang="en-US" baseline="0"/>
                      <a:t>)</a:t>
                    </a:r>
                  </a:p>
                </c:rich>
              </c:tx>
              <c:showLegendKey val="0"/>
              <c:showVal val="1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B196-7E41-80F8-98BD9ADCDF70}"/>
                </c:ext>
                <c:ext xmlns:c15="http://schemas.microsoft.com/office/drawing/2012/chart" uri="{CE6537A1-D6FC-4f65-9D91-7224C49458BB}">
                  <c15:dlblFieldTable/>
                  <c15:showDataLabelsRange val="0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(Sommaire!$A$12,Sommaire!$A$23)</c:f>
              <c:strCache>
                <c:ptCount val="2"/>
                <c:pt idx="0">
                  <c:v>Secteur corporatif</c:v>
                </c:pt>
                <c:pt idx="1">
                  <c:v>Secteur collectif</c:v>
                </c:pt>
              </c:strCache>
            </c:strRef>
          </c:cat>
          <c:val>
            <c:numRef>
              <c:f>(Sommaire!$E$12,Sommaire!$E$23)</c:f>
              <c:numCache>
                <c:formatCode>#,##0</c:formatCode>
                <c:ptCount val="2"/>
                <c:pt idx="0">
                  <c:v>223.31600000000003</c:v>
                </c:pt>
                <c:pt idx="1">
                  <c:v>3917.0133160150153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4-B196-7E41-80F8-98BD9ADCDF70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82"/>
      </c:pieChart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CA" b="1"/>
              <a:t>Inventaire global 2017: émissions du secteur collectif et corporatif (ktéq.CO</a:t>
            </a:r>
            <a:r>
              <a:rPr lang="fr-CA" b="1" baseline="-25000"/>
              <a:t>2</a:t>
            </a:r>
            <a:r>
              <a:rPr lang="fr-CA" b="1"/>
              <a:t>)</a:t>
            </a:r>
          </a:p>
        </c:rich>
      </c:tx>
      <c:layout>
        <c:manualLayout>
          <c:xMode val="edge"/>
          <c:yMode val="edge"/>
          <c:x val="0.11962071519023394"/>
          <c:y val="0.1244255532601593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pieChart>
        <c:varyColors val="1"/>
        <c:ser>
          <c:idx val="0"/>
          <c:order val="0"/>
          <c:explosion val="29"/>
          <c:dPt>
            <c:idx val="0"/>
            <c:bubble3D val="0"/>
            <c:explosion val="6"/>
            <c:spPr>
              <a:solidFill>
                <a:schemeClr val="tx2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93C9-4EE3-92E9-80C9DCE36FD3}"/>
              </c:ext>
            </c:extLst>
          </c:dPt>
          <c:dPt>
            <c:idx val="1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3-93C9-4EE3-92E9-80C9DCE36FD3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5-93C9-4EE3-92E9-80C9DCE36FD3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7-93C9-4EE3-92E9-80C9DCE36FD3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9-93C9-4EE3-92E9-80C9DCE36FD3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B-93C9-4EE3-92E9-80C9DCE36FD3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D-93C9-4EE3-92E9-80C9DCE36FD3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F-93C9-4EE3-92E9-80C9DCE36FD3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1-93C9-4EE3-92E9-80C9DCE36FD3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13-93C9-4EE3-92E9-80C9DCE36FD3}"/>
              </c:ext>
            </c:extLst>
          </c:dPt>
          <c:dLbls>
            <c:dLbl>
              <c:idx val="0"/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900" b="0" i="0" u="none" strike="noStrike" kern="1200" baseline="0">
                        <a:solidFill>
                          <a:schemeClr val="tx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2BD86A3A-8688-4A84-878C-F315CE517A8C}" type="CATEGORYNAME">
                      <a:rPr lang="en-US" b="1"/>
                      <a:pPr>
                        <a:defRPr>
                          <a:solidFill>
                            <a:schemeClr val="tx1"/>
                          </a:solidFill>
                        </a:defRPr>
                      </a:pPr>
                      <a:t>[NOM DE CATÉGORIE]</a:t>
                    </a:fld>
                    <a:r>
                      <a:rPr lang="en-US" baseline="0"/>
                      <a:t> </a:t>
                    </a:r>
                    <a:br>
                      <a:rPr lang="en-US" baseline="0"/>
                    </a:br>
                    <a:fld id="{F0C838D1-8675-441F-AC60-3979F553551F}" type="VALUE">
                      <a:rPr lang="en-US" baseline="0"/>
                      <a:pPr>
                        <a:defRPr>
                          <a:solidFill>
                            <a:schemeClr val="tx1"/>
                          </a:solidFill>
                        </a:defRPr>
                      </a:pPr>
                      <a:t>[VALEUR]</a:t>
                    </a:fld>
                    <a:r>
                      <a:rPr lang="en-US" baseline="0"/>
                      <a:t> ktéq.CO</a:t>
                    </a:r>
                    <a:r>
                      <a:rPr lang="en-US" baseline="-25000"/>
                      <a:t>2</a:t>
                    </a:r>
                    <a:r>
                      <a:rPr lang="en-US" baseline="0"/>
                      <a:t/>
                    </a:r>
                    <a:br>
                      <a:rPr lang="en-US" baseline="0"/>
                    </a:br>
                    <a:r>
                      <a:rPr lang="en-US" baseline="0"/>
                      <a:t>(</a:t>
                    </a:r>
                    <a:fld id="{757DB07C-38B3-4955-B075-74ECFB040724}" type="PERCENTAGE">
                      <a:rPr lang="en-US" baseline="0"/>
                      <a:pPr>
                        <a:defRPr>
                          <a:solidFill>
                            <a:schemeClr val="tx1"/>
                          </a:solidFill>
                        </a:defRPr>
                      </a:pPr>
                      <a:t>[POURCENTAGE]</a:t>
                    </a:fld>
                    <a:r>
                      <a:rPr lang="en-US" baseline="0"/>
                      <a:t>)</a:t>
                    </a:r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fr-FR"/>
                </a:p>
              </c:txPr>
              <c:showLegendKey val="0"/>
              <c:showVal val="1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3C9-4EE3-92E9-80C9DCE36FD3}"/>
                </c:ext>
                <c:ext xmlns:c15="http://schemas.microsoft.com/office/drawing/2012/chart" uri="{CE6537A1-D6FC-4f65-9D91-7224C49458BB}">
                  <c15:dlblFieldTable/>
                  <c15:showDataLabelsRange val="0"/>
                </c:ext>
              </c:extLst>
            </c:dLbl>
            <c:dLbl>
              <c:idx val="1"/>
              <c:layout>
                <c:manualLayout>
                  <c:x val="0.17667661325305953"/>
                  <c:y val="7.9360574479734594E-4"/>
                </c:manualLayout>
              </c:layout>
              <c:tx>
                <c:rich>
                  <a:bodyPr/>
                  <a:lstStyle/>
                  <a:p>
                    <a:fld id="{10F2D188-A3E2-428B-B795-C51472F41A4C}" type="CATEGORYNAME">
                      <a:rPr lang="en-US" b="1"/>
                      <a:pPr/>
                      <a:t>[NOM DE CATÉGORIE]</a:t>
                    </a:fld>
                    <a:r>
                      <a:rPr lang="en-US"/>
                      <a:t/>
                    </a:r>
                    <a:br>
                      <a:rPr lang="en-US"/>
                    </a:br>
                    <a:r>
                      <a:rPr lang="en-US" baseline="0"/>
                      <a:t> </a:t>
                    </a:r>
                    <a:fld id="{76EB10DD-62D1-494C-8A31-AB0C542D8F58}" type="VALUE">
                      <a:rPr lang="en-US" baseline="0"/>
                      <a:pPr/>
                      <a:t>[VALEUR]</a:t>
                    </a:fld>
                    <a:r>
                      <a:rPr lang="en-US" baseline="0"/>
                      <a:t> ktéq.CO</a:t>
                    </a:r>
                    <a:r>
                      <a:rPr lang="en-US" baseline="-25000"/>
                      <a:t>2</a:t>
                    </a:r>
                    <a:r>
                      <a:rPr lang="en-US" baseline="0"/>
                      <a:t> </a:t>
                    </a:r>
                    <a:br>
                      <a:rPr lang="en-US" baseline="0"/>
                    </a:br>
                    <a:r>
                      <a:rPr lang="en-US" baseline="0"/>
                      <a:t>(</a:t>
                    </a:r>
                    <a:fld id="{BEC56321-7EF4-420E-8FF5-230E186E423D}" type="PERCENTAGE">
                      <a:rPr lang="en-US" baseline="0"/>
                      <a:pPr/>
                      <a:t>[POURCENTAGE]</a:t>
                    </a:fld>
                    <a:r>
                      <a:rPr lang="en-US" baseline="0"/>
                      <a:t>)</a:t>
                    </a:r>
                  </a:p>
                </c:rich>
              </c:tx>
              <c:showLegendKey val="0"/>
              <c:showVal val="1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3C9-4EE3-92E9-80C9DCE36FD3}"/>
                </c:ext>
                <c:ext xmlns:c15="http://schemas.microsoft.com/office/drawing/2012/chart" uri="{CE6537A1-D6FC-4f65-9D91-7224C49458BB}">
                  <c15:dlblFieldTable/>
                  <c15:showDataLabelsRange val="0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(Sommaire!$A$12,Sommaire!$A$23)</c:f>
              <c:strCache>
                <c:ptCount val="2"/>
                <c:pt idx="0">
                  <c:v>Secteur corporatif</c:v>
                </c:pt>
                <c:pt idx="1">
                  <c:v>Secteur collectif</c:v>
                </c:pt>
              </c:strCache>
            </c:strRef>
          </c:cat>
          <c:val>
            <c:numRef>
              <c:f>(Sommaire!$E$12,Sommaire!$E$23)</c:f>
              <c:numCache>
                <c:formatCode>#,##0</c:formatCode>
                <c:ptCount val="2"/>
                <c:pt idx="0">
                  <c:v>223.31600000000003</c:v>
                </c:pt>
                <c:pt idx="1">
                  <c:v>3917.0133160150153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14-93C9-4EE3-92E9-80C9DCE36FD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82"/>
      </c:pieChart>
      <c:spPr>
        <a:noFill/>
        <a:ln>
          <a:noFill/>
        </a:ln>
        <a:effectLst/>
      </c:spPr>
    </c:plotArea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0436756777244567"/>
          <c:y val="0.2231897262842133"/>
          <c:w val="0.42407743255919728"/>
          <c:h val="0.61182004593175854"/>
        </c:manualLayout>
      </c:layout>
      <c:pieChart>
        <c:varyColors val="1"/>
        <c:ser>
          <c:idx val="0"/>
          <c:order val="0"/>
          <c:dLbls>
            <c:dLbl>
              <c:idx val="0"/>
              <c:layout>
                <c:manualLayout>
                  <c:x val="-5.3615423857964424E-2"/>
                  <c:y val="-3.373223389894797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4593-A24C-9C6B-E0CE77CB037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3.7365737495914679E-3"/>
                  <c:y val="6.5512846257683804E-2"/>
                </c:manualLayout>
              </c:layout>
              <c:tx>
                <c:rich>
                  <a:bodyPr/>
                  <a:lstStyle/>
                  <a:p>
                    <a:r>
                      <a:rPr lang="en-US">
                        <a:latin typeface="Arial" pitchFamily="34" charset="0"/>
                        <a:cs typeface="Arial" pitchFamily="34" charset="0"/>
                      </a:rPr>
                      <a:t>Climatisation                     
1.1%</a:t>
                    </a:r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4593-A24C-9C6B-E0CE77CB037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1.9865897208228765E-2"/>
                  <c:y val="-2.765207702286961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4593-A24C-9C6B-E0CE77CB037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4.2336493939728007E-2"/>
                  <c:y val="-2.241680332898244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4593-A24C-9C6B-E0CE77CB037E}"/>
                </c:ex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2.3880310914795505E-2"/>
                  <c:y val="-4.160459557624749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6-4593-A24C-9C6B-E0CE77CB037E}"/>
                </c:ex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1.7991013520457528E-2"/>
                  <c:y val="1.587165456229012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4593-A24C-9C6B-E0CE77CB037E}"/>
                </c:ex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5.9929598560770202E-2"/>
                  <c:y val="2.6125147793936267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7-4593-A24C-9C6B-E0CE77CB037E}"/>
                </c:ex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/>
              <a:lstStyle/>
              <a:p>
                <a:pPr>
                  <a:defRPr sz="12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endParaRPr lang="fr-F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Résidentiel!$B$144:$B$153</c:f>
              <c:strCache>
                <c:ptCount val="10"/>
                <c:pt idx="0">
                  <c:v>Éclairage</c:v>
                </c:pt>
                <c:pt idx="1">
                  <c:v>Climatisation</c:v>
                </c:pt>
                <c:pt idx="2">
                  <c:v>Chauffage</c:v>
                </c:pt>
                <c:pt idx="6">
                  <c:v>Chauffage de l'eau</c:v>
                </c:pt>
                <c:pt idx="9">
                  <c:v>Appareils ménagers</c:v>
                </c:pt>
              </c:strCache>
            </c:strRef>
          </c:cat>
          <c:val>
            <c:numRef>
              <c:f>Résidentiel!$E$144:$E$153</c:f>
              <c:numCache>
                <c:formatCode>#,##0</c:formatCode>
                <c:ptCount val="10"/>
                <c:pt idx="0">
                  <c:v>849293264.72369421</c:v>
                </c:pt>
                <c:pt idx="1">
                  <c:v>312739995.09602624</c:v>
                </c:pt>
                <c:pt idx="2">
                  <c:v>14770793899.008944</c:v>
                </c:pt>
                <c:pt idx="6">
                  <c:v>2274895739.0425453</c:v>
                </c:pt>
                <c:pt idx="9">
                  <c:v>3312560076.4891076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4593-A24C-9C6B-E0CE77CB03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000000000000389" l="0.70000000000000062" r="0.70000000000000062" t="0.75000000000000389" header="0.30000000000000032" footer="0.30000000000000032"/>
    <c:pageSetup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autoTitleDeleted val="0"/>
    <c:plotArea>
      <c:layout/>
      <c:pieChart>
        <c:varyColors val="1"/>
        <c:ser>
          <c:idx val="0"/>
          <c:order val="0"/>
          <c:dLbls>
            <c:dLbl>
              <c:idx val="0"/>
              <c:layout>
                <c:manualLayout>
                  <c:x val="2.4026428766279511E-2"/>
                  <c:y val="-3.687238270255079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5055-2541-A06A-36925B34584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1.6542989641491763E-2"/>
                  <c:y val="5.029198978290089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5055-2541-A06A-36925B34584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4.9614718632344304E-2"/>
                  <c:y val="7.6005646505787096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5055-2541-A06A-36925B34584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2.7650140534715888E-3"/>
                  <c:y val="1.0840794157309741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5055-2541-A06A-36925B34584E}"/>
                </c:ex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endParaRPr lang="fr-F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Résidentiel!$B$157:$B$161</c:f>
              <c:strCache>
                <c:ptCount val="4"/>
                <c:pt idx="0">
                  <c:v>Électricité</c:v>
                </c:pt>
                <c:pt idx="1">
                  <c:v>Gaz naturel</c:v>
                </c:pt>
                <c:pt idx="2">
                  <c:v>Mazout</c:v>
                </c:pt>
                <c:pt idx="3">
                  <c:v>Bois</c:v>
                </c:pt>
              </c:strCache>
            </c:strRef>
          </c:cat>
          <c:val>
            <c:numRef>
              <c:f>Résidentiel!$C$157:$C$160</c:f>
              <c:numCache>
                <c:formatCode>#,##0</c:formatCode>
                <c:ptCount val="4"/>
                <c:pt idx="0">
                  <c:v>16087130001.942249</c:v>
                </c:pt>
                <c:pt idx="1">
                  <c:v>1296580102</c:v>
                </c:pt>
                <c:pt idx="2">
                  <c:v>3223480726.4158859</c:v>
                </c:pt>
                <c:pt idx="3">
                  <c:v>913092144.00218177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5055-2541-A06A-36925B3458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plotVisOnly val="1"/>
    <c:dispBlanksAs val="gap"/>
    <c:showDLblsOverMax val="0"/>
  </c:chart>
  <c:printSettings>
    <c:headerFooter/>
    <c:pageMargins b="0.75000000000000389" l="0.70000000000000062" r="0.70000000000000062" t="0.75000000000000389" header="0.30000000000000032" footer="0.3000000000000003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5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 mods="ignoreCSTransforms">
      <cs:styleClr val="0">
        <a:shade val="25000"/>
      </cs:styl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 mods="ignoreCSTransforms">
      <cs:styleClr val="0">
        <a:tint val="25000"/>
      </cs:styl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5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 mods="ignoreCSTransforms">
      <cs:styleClr val="0">
        <a:shade val="25000"/>
      </cs:styl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 mods="ignoreCSTransforms">
      <cs:styleClr val="0">
        <a:tint val="25000"/>
      </cs:styl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5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 mods="ignoreCSTransforms">
      <cs:styleClr val="0">
        <a:shade val="25000"/>
      </cs:styl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 mods="ignoreCSTransforms">
      <cs:styleClr val="0">
        <a:tint val="25000"/>
      </cs:styl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105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 mods="ignoreCSTransforms">
      <cs:styleClr val="0">
        <a:shade val="25000"/>
      </cs:styl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 mods="ignoreCSTransforms">
      <cs:styleClr val="0">
        <a:tint val="25000"/>
      </cs:styl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3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50000"/>
            <a:lumOff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4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33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50000"/>
            <a:lumOff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4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33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50000"/>
            <a:lumOff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4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Relationship Id="rId5" Type="http://schemas.openxmlformats.org/officeDocument/2006/relationships/chart" Target="../charts/chart12.xml"/><Relationship Id="rId4" Type="http://schemas.openxmlformats.org/officeDocument/2006/relationships/chart" Target="../charts/chart11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openxmlformats.org/officeDocument/2006/relationships/chart" Target="../charts/chart18.xml"/><Relationship Id="rId5" Type="http://schemas.openxmlformats.org/officeDocument/2006/relationships/chart" Target="../charts/chart17.xml"/><Relationship Id="rId4" Type="http://schemas.openxmlformats.org/officeDocument/2006/relationships/chart" Target="../charts/chart1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4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2</xdr:row>
      <xdr:rowOff>0</xdr:rowOff>
    </xdr:from>
    <xdr:to>
      <xdr:col>1</xdr:col>
      <xdr:colOff>1016000</xdr:colOff>
      <xdr:row>12</xdr:row>
      <xdr:rowOff>152400</xdr:rowOff>
    </xdr:to>
    <xdr:sp macro="" textlink="">
      <xdr:nvSpPr>
        <xdr:cNvPr id="2" name="Sous-titre 3">
          <a:extLst>
            <a:ext uri="{FF2B5EF4-FFF2-40B4-BE49-F238E27FC236}">
              <a16:creationId xmlns="" xmlns:a16="http://schemas.microsoft.com/office/drawing/2014/main" id="{4F71885A-EDD6-B94E-8B70-ADD74D65A015}"/>
            </a:ext>
          </a:extLst>
        </xdr:cNvPr>
        <xdr:cNvSpPr>
          <a:spLocks noGrp="1"/>
        </xdr:cNvSpPr>
      </xdr:nvSpPr>
      <xdr:spPr>
        <a:xfrm>
          <a:off x="1" y="558800"/>
          <a:ext cx="3416299" cy="2184400"/>
        </a:xfrm>
        <a:prstGeom prst="rect">
          <a:avLst/>
        </a:prstGeom>
        <a:blipFill rotWithShape="1">
          <a:blip xmlns:r="http://schemas.openxmlformats.org/officeDocument/2006/relationships" r:embed="rId1"/>
          <a:stretch>
            <a:fillRect/>
          </a:stretch>
        </a:blipFill>
      </xdr:spPr>
      <xdr:txBody>
        <a:bodyPr vert="horz" wrap="square" lIns="91440" tIns="45720" rIns="91440" bIns="45720" rtlCol="0">
          <a:normAutofit/>
        </a:bodyPr>
        <a:lstStyle>
          <a:lvl1pPr marL="0" indent="0" algn="ctr" defTabSz="457200" rtl="0" eaLnBrk="1" latinLnBrk="0" hangingPunct="1">
            <a:spcBef>
              <a:spcPct val="20000"/>
            </a:spcBef>
            <a:buFont typeface="Arial"/>
            <a:buNone/>
            <a:defRPr sz="100" kern="1200">
              <a:solidFill>
                <a:schemeClr val="tx1">
                  <a:alpha val="0"/>
                </a:schemeClr>
              </a:solidFill>
              <a:latin typeface="+mn-lt"/>
              <a:ea typeface="+mn-ea"/>
              <a:cs typeface="+mn-cs"/>
            </a:defRPr>
          </a:lvl1pPr>
          <a:lvl2pPr marL="457200" indent="0" algn="ctr" defTabSz="457200" rtl="0" eaLnBrk="1" latinLnBrk="0" hangingPunct="1">
            <a:spcBef>
              <a:spcPct val="20000"/>
            </a:spcBef>
            <a:buFont typeface="Arial"/>
            <a:buNone/>
            <a:defRPr sz="2800" kern="1200">
              <a:solidFill>
                <a:schemeClr val="tx1">
                  <a:tint val="75000"/>
                </a:schemeClr>
              </a:solidFill>
              <a:latin typeface="+mn-lt"/>
              <a:ea typeface="+mn-ea"/>
              <a:cs typeface="+mn-cs"/>
            </a:defRPr>
          </a:lvl2pPr>
          <a:lvl3pPr marL="914400" indent="0" algn="ctr" defTabSz="457200" rtl="0" eaLnBrk="1" latinLnBrk="0" hangingPunct="1">
            <a:spcBef>
              <a:spcPct val="20000"/>
            </a:spcBef>
            <a:buFont typeface="Arial"/>
            <a:buNone/>
            <a:defRPr sz="2400" kern="1200">
              <a:solidFill>
                <a:schemeClr val="tx1">
                  <a:tint val="75000"/>
                </a:schemeClr>
              </a:solidFill>
              <a:latin typeface="+mn-lt"/>
              <a:ea typeface="+mn-ea"/>
              <a:cs typeface="+mn-cs"/>
            </a:defRPr>
          </a:lvl3pPr>
          <a:lvl4pPr marL="1371600" indent="0" algn="ctr" defTabSz="457200" rtl="0" eaLnBrk="1" latinLnBrk="0" hangingPunct="1">
            <a:spcBef>
              <a:spcPct val="20000"/>
            </a:spcBef>
            <a:buFont typeface="Arial"/>
            <a:buNone/>
            <a:defRPr sz="2000" kern="1200">
              <a:solidFill>
                <a:schemeClr val="tx1">
                  <a:tint val="75000"/>
                </a:schemeClr>
              </a:solidFill>
              <a:latin typeface="+mn-lt"/>
              <a:ea typeface="+mn-ea"/>
              <a:cs typeface="+mn-cs"/>
            </a:defRPr>
          </a:lvl4pPr>
          <a:lvl5pPr marL="1828800" indent="0" algn="ctr" defTabSz="457200" rtl="0" eaLnBrk="1" latinLnBrk="0" hangingPunct="1">
            <a:spcBef>
              <a:spcPct val="20000"/>
            </a:spcBef>
            <a:buFont typeface="Arial"/>
            <a:buNone/>
            <a:defRPr sz="2000" kern="1200">
              <a:solidFill>
                <a:schemeClr val="tx1">
                  <a:tint val="75000"/>
                </a:schemeClr>
              </a:solidFill>
              <a:latin typeface="+mn-lt"/>
              <a:ea typeface="+mn-ea"/>
              <a:cs typeface="+mn-cs"/>
            </a:defRPr>
          </a:lvl5pPr>
          <a:lvl6pPr marL="2286000" indent="0" algn="ctr" defTabSz="457200" rtl="0" eaLnBrk="1" latinLnBrk="0" hangingPunct="1">
            <a:spcBef>
              <a:spcPct val="20000"/>
            </a:spcBef>
            <a:buFont typeface="Arial"/>
            <a:buNone/>
            <a:defRPr sz="2000" kern="1200">
              <a:solidFill>
                <a:schemeClr val="tx1">
                  <a:tint val="75000"/>
                </a:schemeClr>
              </a:solidFill>
              <a:latin typeface="+mn-lt"/>
              <a:ea typeface="+mn-ea"/>
              <a:cs typeface="+mn-cs"/>
            </a:defRPr>
          </a:lvl6pPr>
          <a:lvl7pPr marL="2743200" indent="0" algn="ctr" defTabSz="457200" rtl="0" eaLnBrk="1" latinLnBrk="0" hangingPunct="1">
            <a:spcBef>
              <a:spcPct val="20000"/>
            </a:spcBef>
            <a:buFont typeface="Arial"/>
            <a:buNone/>
            <a:defRPr sz="2000" kern="1200">
              <a:solidFill>
                <a:schemeClr val="tx1">
                  <a:tint val="75000"/>
                </a:schemeClr>
              </a:solidFill>
              <a:latin typeface="+mn-lt"/>
              <a:ea typeface="+mn-ea"/>
              <a:cs typeface="+mn-cs"/>
            </a:defRPr>
          </a:lvl7pPr>
          <a:lvl8pPr marL="3200400" indent="0" algn="ctr" defTabSz="457200" rtl="0" eaLnBrk="1" latinLnBrk="0" hangingPunct="1">
            <a:spcBef>
              <a:spcPct val="20000"/>
            </a:spcBef>
            <a:buFont typeface="Arial"/>
            <a:buNone/>
            <a:defRPr sz="2000" kern="1200">
              <a:solidFill>
                <a:schemeClr val="tx1">
                  <a:tint val="75000"/>
                </a:schemeClr>
              </a:solidFill>
              <a:latin typeface="+mn-lt"/>
              <a:ea typeface="+mn-ea"/>
              <a:cs typeface="+mn-cs"/>
            </a:defRPr>
          </a:lvl8pPr>
          <a:lvl9pPr marL="3657600" indent="0" algn="ctr" defTabSz="457200" rtl="0" eaLnBrk="1" latinLnBrk="0" hangingPunct="1">
            <a:spcBef>
              <a:spcPct val="20000"/>
            </a:spcBef>
            <a:buFont typeface="Arial"/>
            <a:buNone/>
            <a:defRPr sz="2000" kern="1200">
              <a:solidFill>
                <a:schemeClr val="tx1">
                  <a:tint val="75000"/>
                </a:schemeClr>
              </a:solidFill>
              <a:latin typeface="+mn-lt"/>
              <a:ea typeface="+mn-ea"/>
              <a:cs typeface="+mn-cs"/>
            </a:defRPr>
          </a:lvl9pPr>
        </a:lstStyle>
        <a:p>
          <a:endParaRPr lang="fr-FR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79</xdr:row>
      <xdr:rowOff>28574</xdr:rowOff>
    </xdr:from>
    <xdr:to>
      <xdr:col>3</xdr:col>
      <xdr:colOff>638175</xdr:colOff>
      <xdr:row>101</xdr:row>
      <xdr:rowOff>38100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19050</xdr:colOff>
      <xdr:row>78</xdr:row>
      <xdr:rowOff>152401</xdr:rowOff>
    </xdr:from>
    <xdr:to>
      <xdr:col>11</xdr:col>
      <xdr:colOff>0</xdr:colOff>
      <xdr:row>101</xdr:row>
      <xdr:rowOff>19050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1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28575</xdr:colOff>
      <xdr:row>105</xdr:row>
      <xdr:rowOff>28574</xdr:rowOff>
    </xdr:from>
    <xdr:to>
      <xdr:col>3</xdr:col>
      <xdr:colOff>666750</xdr:colOff>
      <xdr:row>126</xdr:row>
      <xdr:rowOff>85724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1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133350</xdr:colOff>
      <xdr:row>105</xdr:row>
      <xdr:rowOff>28575</xdr:rowOff>
    </xdr:from>
    <xdr:to>
      <xdr:col>10</xdr:col>
      <xdr:colOff>647700</xdr:colOff>
      <xdr:row>126</xdr:row>
      <xdr:rowOff>66675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1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0</xdr:colOff>
      <xdr:row>35</xdr:row>
      <xdr:rowOff>95250</xdr:rowOff>
    </xdr:from>
    <xdr:to>
      <xdr:col>13</xdr:col>
      <xdr:colOff>38100</xdr:colOff>
      <xdr:row>74</xdr:row>
      <xdr:rowOff>50800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54196432-2162-D44B-AA83-CFFB44B4AB2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38100</xdr:colOff>
      <xdr:row>36</xdr:row>
      <xdr:rowOff>114300</xdr:rowOff>
    </xdr:from>
    <xdr:to>
      <xdr:col>3</xdr:col>
      <xdr:colOff>914400</xdr:colOff>
      <xdr:row>55</xdr:row>
      <xdr:rowOff>101600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A6BF6C53-D1DF-FD46-A7DE-6D8FBE11DB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19050</xdr:colOff>
      <xdr:row>56</xdr:row>
      <xdr:rowOff>47625</xdr:rowOff>
    </xdr:from>
    <xdr:to>
      <xdr:col>3</xdr:col>
      <xdr:colOff>895350</xdr:colOff>
      <xdr:row>75</xdr:row>
      <xdr:rowOff>15875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30B59542-2049-42CA-BCF5-F1FB5784F5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0.5832</cdr:x>
      <cdr:y>0.51885</cdr:y>
    </cdr:from>
    <cdr:to>
      <cdr:x>1</cdr:x>
      <cdr:y>0.57177</cdr:y>
    </cdr:to>
    <cdr:sp macro="" textlink="">
      <cdr:nvSpPr>
        <cdr:cNvPr id="2" name="ZoneTexte 1">
          <a:extLst xmlns:a="http://schemas.openxmlformats.org/drawingml/2006/main">
            <a:ext uri="{FF2B5EF4-FFF2-40B4-BE49-F238E27FC236}">
              <a16:creationId xmlns="" xmlns:a16="http://schemas.microsoft.com/office/drawing/2014/main" id="{95F018DE-8B0B-A142-9BCF-509013326BDA}"/>
            </a:ext>
          </a:extLst>
        </cdr:cNvPr>
        <cdr:cNvSpPr txBox="1"/>
      </cdr:nvSpPr>
      <cdr:spPr>
        <a:xfrm xmlns:a="http://schemas.openxmlformats.org/drawingml/2006/main">
          <a:off x="4673600" y="4108450"/>
          <a:ext cx="3340100" cy="4191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ctr"/>
          <a:r>
            <a:rPr lang="fr-CA" sz="1400" b="1">
              <a:latin typeface="Times New Roman" panose="02020603050405020304" pitchFamily="18" charset="0"/>
              <a:cs typeface="Times New Roman" panose="02020603050405020304" pitchFamily="18" charset="0"/>
            </a:rPr>
            <a:t>Émissions</a:t>
          </a:r>
          <a:r>
            <a:rPr lang="fr-CA" sz="1400" b="1" baseline="0">
              <a:latin typeface="Times New Roman" panose="02020603050405020304" pitchFamily="18" charset="0"/>
              <a:cs typeface="Times New Roman" panose="02020603050405020304" pitchFamily="18" charset="0"/>
            </a:rPr>
            <a:t> corporatives : 223 ktéq.CO</a:t>
          </a:r>
          <a:r>
            <a:rPr lang="fr-CA" sz="1400" b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2</a:t>
          </a:r>
        </a:p>
      </cdr:txBody>
    </cdr:sp>
  </cdr:relSizeAnchor>
  <cdr:relSizeAnchor xmlns:cdr="http://schemas.openxmlformats.org/drawingml/2006/chartDrawing">
    <cdr:from>
      <cdr:x>0.02694</cdr:x>
      <cdr:y>0.56776</cdr:y>
    </cdr:from>
    <cdr:to>
      <cdr:x>0.44374</cdr:x>
      <cdr:y>0.62069</cdr:y>
    </cdr:to>
    <cdr:sp macro="" textlink="">
      <cdr:nvSpPr>
        <cdr:cNvPr id="3" name="ZoneTexte 1">
          <a:extLst xmlns:a="http://schemas.openxmlformats.org/drawingml/2006/main">
            <a:ext uri="{FF2B5EF4-FFF2-40B4-BE49-F238E27FC236}">
              <a16:creationId xmlns="" xmlns:a16="http://schemas.microsoft.com/office/drawing/2014/main" id="{09A90ED6-475D-8041-A038-A8AF8A51FBD9}"/>
            </a:ext>
          </a:extLst>
        </cdr:cNvPr>
        <cdr:cNvSpPr txBox="1"/>
      </cdr:nvSpPr>
      <cdr:spPr>
        <a:xfrm xmlns:a="http://schemas.openxmlformats.org/drawingml/2006/main">
          <a:off x="215900" y="4495800"/>
          <a:ext cx="3340100" cy="4191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fr-CA" sz="1400" b="1">
              <a:latin typeface="Times New Roman" panose="02020603050405020304" pitchFamily="18" charset="0"/>
              <a:cs typeface="Times New Roman" panose="02020603050405020304" pitchFamily="18" charset="0"/>
            </a:rPr>
            <a:t>Inventaire global </a:t>
          </a:r>
          <a:r>
            <a:rPr lang="fr-CA" sz="1400" b="1" baseline="0">
              <a:latin typeface="Times New Roman" panose="02020603050405020304" pitchFamily="18" charset="0"/>
              <a:cs typeface="Times New Roman" panose="02020603050405020304" pitchFamily="18" charset="0"/>
            </a:rPr>
            <a:t>: 4 181 ktéq.CO</a:t>
          </a:r>
          <a:r>
            <a:rPr lang="fr-CA" sz="1400" b="1" baseline="-25000">
              <a:latin typeface="Times New Roman" panose="02020603050405020304" pitchFamily="18" charset="0"/>
              <a:cs typeface="Times New Roman" panose="02020603050405020304" pitchFamily="18" charset="0"/>
            </a:rPr>
            <a:t>2</a:t>
          </a: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1425221</xdr:colOff>
      <xdr:row>142</xdr:row>
      <xdr:rowOff>0</xdr:rowOff>
    </xdr:from>
    <xdr:to>
      <xdr:col>12</xdr:col>
      <xdr:colOff>155222</xdr:colOff>
      <xdr:row>153</xdr:row>
      <xdr:rowOff>0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5BAAA78E-737D-7543-8925-8430A962A4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1270000</xdr:colOff>
      <xdr:row>153</xdr:row>
      <xdr:rowOff>0</xdr:rowOff>
    </xdr:from>
    <xdr:to>
      <xdr:col>6</xdr:col>
      <xdr:colOff>409222</xdr:colOff>
      <xdr:row>161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C49F3472-6CF0-5145-98C7-C6DDD60994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177</xdr:row>
      <xdr:rowOff>0</xdr:rowOff>
    </xdr:from>
    <xdr:to>
      <xdr:col>16</xdr:col>
      <xdr:colOff>538339</xdr:colOff>
      <xdr:row>189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22375F3B-F0A3-A946-B3FD-728C9B8593A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592667</xdr:colOff>
      <xdr:row>189</xdr:row>
      <xdr:rowOff>169333</xdr:rowOff>
    </xdr:from>
    <xdr:to>
      <xdr:col>10</xdr:col>
      <xdr:colOff>439116</xdr:colOff>
      <xdr:row>198</xdr:row>
      <xdr:rowOff>0</xdr:rowOff>
    </xdr:to>
    <xdr:graphicFrame macro="">
      <xdr:nvGraphicFramePr>
        <xdr:cNvPr id="15" name="Graphique 14">
          <a:extLst>
            <a:ext uri="{FF2B5EF4-FFF2-40B4-BE49-F238E27FC236}">
              <a16:creationId xmlns="" xmlns:a16="http://schemas.microsoft.com/office/drawing/2014/main" id="{984990DE-4833-564D-AED2-4A5CB8B857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1135943</xdr:colOff>
      <xdr:row>3</xdr:row>
      <xdr:rowOff>138289</xdr:rowOff>
    </xdr:from>
    <xdr:to>
      <xdr:col>16</xdr:col>
      <xdr:colOff>409221</xdr:colOff>
      <xdr:row>19</xdr:row>
      <xdr:rowOff>183444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EED609BE-0705-6744-838D-F6471BA1366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705970</xdr:colOff>
      <xdr:row>111</xdr:row>
      <xdr:rowOff>481854</xdr:rowOff>
    </xdr:from>
    <xdr:to>
      <xdr:col>13</xdr:col>
      <xdr:colOff>459441</xdr:colOff>
      <xdr:row>129</xdr:row>
      <xdr:rowOff>0</xdr:rowOff>
    </xdr:to>
    <xdr:graphicFrame macro="">
      <xdr:nvGraphicFramePr>
        <xdr:cNvPr id="2" name="Graphique 1">
          <a:extLst>
            <a:ext uri="{FF2B5EF4-FFF2-40B4-BE49-F238E27FC236}">
              <a16:creationId xmlns="" xmlns:a16="http://schemas.microsoft.com/office/drawing/2014/main" id="{00000000-0008-0000-0A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784411</xdr:colOff>
      <xdr:row>138</xdr:row>
      <xdr:rowOff>1</xdr:rowOff>
    </xdr:from>
    <xdr:to>
      <xdr:col>14</xdr:col>
      <xdr:colOff>403412</xdr:colOff>
      <xdr:row>164</xdr:row>
      <xdr:rowOff>56029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571500</xdr:colOff>
      <xdr:row>192</xdr:row>
      <xdr:rowOff>145677</xdr:rowOff>
    </xdr:from>
    <xdr:to>
      <xdr:col>8</xdr:col>
      <xdr:colOff>324971</xdr:colOff>
      <xdr:row>205</xdr:row>
      <xdr:rowOff>11206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A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224118</xdr:colOff>
      <xdr:row>207</xdr:row>
      <xdr:rowOff>100852</xdr:rowOff>
    </xdr:from>
    <xdr:to>
      <xdr:col>11</xdr:col>
      <xdr:colOff>728382</xdr:colOff>
      <xdr:row>228</xdr:row>
      <xdr:rowOff>112058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A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302558</xdr:colOff>
      <xdr:row>242</xdr:row>
      <xdr:rowOff>78440</xdr:rowOff>
    </xdr:from>
    <xdr:to>
      <xdr:col>12</xdr:col>
      <xdr:colOff>728382</xdr:colOff>
      <xdr:row>269</xdr:row>
      <xdr:rowOff>89645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A00-000008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7</xdr:col>
      <xdr:colOff>123265</xdr:colOff>
      <xdr:row>286</xdr:row>
      <xdr:rowOff>78443</xdr:rowOff>
    </xdr:from>
    <xdr:to>
      <xdr:col>11</xdr:col>
      <xdr:colOff>627529</xdr:colOff>
      <xdr:row>298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A00-00000A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465666</xdr:colOff>
      <xdr:row>1</xdr:row>
      <xdr:rowOff>310445</xdr:rowOff>
    </xdr:from>
    <xdr:to>
      <xdr:col>9</xdr:col>
      <xdr:colOff>677334</xdr:colOff>
      <xdr:row>10</xdr:row>
      <xdr:rowOff>169333</xdr:rowOff>
    </xdr:to>
    <xdr:graphicFrame macro="">
      <xdr:nvGraphicFramePr>
        <xdr:cNvPr id="2" name="Graphique 1">
          <a:extLst>
            <a:ext uri="{FF2B5EF4-FFF2-40B4-BE49-F238E27FC236}">
              <a16:creationId xmlns="" xmlns:a16="http://schemas.microsoft.com/office/drawing/2014/main" id="{00000000-0008-0000-0C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2</xdr:col>
      <xdr:colOff>63500</xdr:colOff>
      <xdr:row>1</xdr:row>
      <xdr:rowOff>0</xdr:rowOff>
    </xdr:to>
    <xdr:pic>
      <xdr:nvPicPr>
        <xdr:cNvPr id="2" name="Image 1" descr="page13image28280704">
          <a:extLst>
            <a:ext uri="{FF2B5EF4-FFF2-40B4-BE49-F238E27FC236}">
              <a16:creationId xmlns="" xmlns:a16="http://schemas.microsoft.com/office/drawing/2014/main" id="{EE9D0B20-0B8F-DE49-A7AB-D13A31FE32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5500" y="203200"/>
          <a:ext cx="14478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9</xdr:col>
      <xdr:colOff>698500</xdr:colOff>
      <xdr:row>1</xdr:row>
      <xdr:rowOff>0</xdr:rowOff>
    </xdr:from>
    <xdr:to>
      <xdr:col>15</xdr:col>
      <xdr:colOff>139700</xdr:colOff>
      <xdr:row>1</xdr:row>
      <xdr:rowOff>0</xdr:rowOff>
    </xdr:to>
    <xdr:pic>
      <xdr:nvPicPr>
        <xdr:cNvPr id="4" name="Image 3" descr="page13image28287040">
          <a:extLst>
            <a:ext uri="{FF2B5EF4-FFF2-40B4-BE49-F238E27FC236}">
              <a16:creationId xmlns="" xmlns:a16="http://schemas.microsoft.com/office/drawing/2014/main" id="{2D5D4C65-0F08-0542-BF5C-94DD9F8C2D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85200" y="203200"/>
          <a:ext cx="439420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12700</xdr:colOff>
      <xdr:row>1</xdr:row>
      <xdr:rowOff>12700</xdr:rowOff>
    </xdr:to>
    <xdr:pic>
      <xdr:nvPicPr>
        <xdr:cNvPr id="5" name="Image 4" descr="page13image5015744">
          <a:extLst>
            <a:ext uri="{FF2B5EF4-FFF2-40B4-BE49-F238E27FC236}">
              <a16:creationId xmlns="" xmlns:a16="http://schemas.microsoft.com/office/drawing/2014/main" id="{91372B88-1009-3D4A-AA38-B098A4CABA9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33700" y="20320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12700</xdr:colOff>
      <xdr:row>2</xdr:row>
      <xdr:rowOff>12700</xdr:rowOff>
    </xdr:to>
    <xdr:pic>
      <xdr:nvPicPr>
        <xdr:cNvPr id="6" name="Image 5" descr="page13image28287232">
          <a:extLst>
            <a:ext uri="{FF2B5EF4-FFF2-40B4-BE49-F238E27FC236}">
              <a16:creationId xmlns="" xmlns:a16="http://schemas.microsoft.com/office/drawing/2014/main" id="{E08D6B69-3BD6-AB4B-AF74-BF9F62BF298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33700" y="45720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12700</xdr:colOff>
      <xdr:row>2</xdr:row>
      <xdr:rowOff>12700</xdr:rowOff>
    </xdr:to>
    <xdr:pic>
      <xdr:nvPicPr>
        <xdr:cNvPr id="7" name="Image 6" descr="page13image28279360">
          <a:extLst>
            <a:ext uri="{FF2B5EF4-FFF2-40B4-BE49-F238E27FC236}">
              <a16:creationId xmlns="" xmlns:a16="http://schemas.microsoft.com/office/drawing/2014/main" id="{96432E5B-08B0-2A4B-A2BD-5F96F57760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4700" y="45720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25400</xdr:colOff>
      <xdr:row>2</xdr:row>
      <xdr:rowOff>0</xdr:rowOff>
    </xdr:from>
    <xdr:to>
      <xdr:col>5</xdr:col>
      <xdr:colOff>38100</xdr:colOff>
      <xdr:row>2</xdr:row>
      <xdr:rowOff>12700</xdr:rowOff>
    </xdr:to>
    <xdr:pic>
      <xdr:nvPicPr>
        <xdr:cNvPr id="8" name="Image 7" descr="page13image28281472">
          <a:extLst>
            <a:ext uri="{FF2B5EF4-FFF2-40B4-BE49-F238E27FC236}">
              <a16:creationId xmlns="" xmlns:a16="http://schemas.microsoft.com/office/drawing/2014/main" id="{692B3BD2-5085-FC4A-88D9-A20220F8C6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10100" y="45720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12700</xdr:colOff>
      <xdr:row>11</xdr:row>
      <xdr:rowOff>12700</xdr:rowOff>
    </xdr:to>
    <xdr:pic>
      <xdr:nvPicPr>
        <xdr:cNvPr id="9" name="Image 8" descr="page13image28214784">
          <a:extLst>
            <a:ext uri="{FF2B5EF4-FFF2-40B4-BE49-F238E27FC236}">
              <a16:creationId xmlns="" xmlns:a16="http://schemas.microsoft.com/office/drawing/2014/main" id="{1AA731AA-D503-D64E-9174-B0D251EC15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33700" y="182880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12700</xdr:colOff>
      <xdr:row>11</xdr:row>
      <xdr:rowOff>12700</xdr:rowOff>
    </xdr:to>
    <xdr:pic>
      <xdr:nvPicPr>
        <xdr:cNvPr id="10" name="Image 9" descr="page13image28214016">
          <a:extLst>
            <a:ext uri="{FF2B5EF4-FFF2-40B4-BE49-F238E27FC236}">
              <a16:creationId xmlns="" xmlns:a16="http://schemas.microsoft.com/office/drawing/2014/main" id="{E6D6385E-8859-484D-A632-2A766E9792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4700" y="182880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25400</xdr:colOff>
      <xdr:row>11</xdr:row>
      <xdr:rowOff>0</xdr:rowOff>
    </xdr:from>
    <xdr:to>
      <xdr:col>5</xdr:col>
      <xdr:colOff>38100</xdr:colOff>
      <xdr:row>11</xdr:row>
      <xdr:rowOff>12700</xdr:rowOff>
    </xdr:to>
    <xdr:pic>
      <xdr:nvPicPr>
        <xdr:cNvPr id="11" name="Image 10" descr="page13image28213440">
          <a:extLst>
            <a:ext uri="{FF2B5EF4-FFF2-40B4-BE49-F238E27FC236}">
              <a16:creationId xmlns="" xmlns:a16="http://schemas.microsoft.com/office/drawing/2014/main" id="{CF496AE3-D850-5347-80F8-F358CA9A6D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10100" y="182880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15</xdr:row>
      <xdr:rowOff>0</xdr:rowOff>
    </xdr:from>
    <xdr:to>
      <xdr:col>3</xdr:col>
      <xdr:colOff>12700</xdr:colOff>
      <xdr:row>15</xdr:row>
      <xdr:rowOff>12700</xdr:rowOff>
    </xdr:to>
    <xdr:pic>
      <xdr:nvPicPr>
        <xdr:cNvPr id="12" name="Image 11" descr="page13image28212608">
          <a:extLst>
            <a:ext uri="{FF2B5EF4-FFF2-40B4-BE49-F238E27FC236}">
              <a16:creationId xmlns="" xmlns:a16="http://schemas.microsoft.com/office/drawing/2014/main" id="{120994A6-D8E1-B44A-9EA7-091454F2DF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33700" y="273050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19</xdr:row>
      <xdr:rowOff>0</xdr:rowOff>
    </xdr:from>
    <xdr:to>
      <xdr:col>3</xdr:col>
      <xdr:colOff>12700</xdr:colOff>
      <xdr:row>19</xdr:row>
      <xdr:rowOff>12700</xdr:rowOff>
    </xdr:to>
    <xdr:pic>
      <xdr:nvPicPr>
        <xdr:cNvPr id="13" name="Image 12" descr="page13image28208960">
          <a:extLst>
            <a:ext uri="{FF2B5EF4-FFF2-40B4-BE49-F238E27FC236}">
              <a16:creationId xmlns="" xmlns:a16="http://schemas.microsoft.com/office/drawing/2014/main" id="{E157B89C-F7EF-3B4E-AEC3-1A1B6356B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33700" y="364490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0</xdr:colOff>
      <xdr:row>15</xdr:row>
      <xdr:rowOff>0</xdr:rowOff>
    </xdr:from>
    <xdr:to>
      <xdr:col>5</xdr:col>
      <xdr:colOff>12700</xdr:colOff>
      <xdr:row>15</xdr:row>
      <xdr:rowOff>12700</xdr:rowOff>
    </xdr:to>
    <xdr:pic>
      <xdr:nvPicPr>
        <xdr:cNvPr id="14" name="Image 13" descr="page13image28219776">
          <a:extLst>
            <a:ext uri="{FF2B5EF4-FFF2-40B4-BE49-F238E27FC236}">
              <a16:creationId xmlns="" xmlns:a16="http://schemas.microsoft.com/office/drawing/2014/main" id="{C9BF8CA1-0945-2A43-A0C5-34CB937E70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4700" y="273050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25400</xdr:colOff>
      <xdr:row>15</xdr:row>
      <xdr:rowOff>0</xdr:rowOff>
    </xdr:from>
    <xdr:to>
      <xdr:col>5</xdr:col>
      <xdr:colOff>38100</xdr:colOff>
      <xdr:row>15</xdr:row>
      <xdr:rowOff>12700</xdr:rowOff>
    </xdr:to>
    <xdr:pic>
      <xdr:nvPicPr>
        <xdr:cNvPr id="15" name="Image 14" descr="page13image28220352">
          <a:extLst>
            <a:ext uri="{FF2B5EF4-FFF2-40B4-BE49-F238E27FC236}">
              <a16:creationId xmlns="" xmlns:a16="http://schemas.microsoft.com/office/drawing/2014/main" id="{B7660444-E7BC-E145-BA64-BEE85263F3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10100" y="273050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3</xdr:col>
      <xdr:colOff>0</xdr:colOff>
      <xdr:row>22</xdr:row>
      <xdr:rowOff>0</xdr:rowOff>
    </xdr:from>
    <xdr:to>
      <xdr:col>3</xdr:col>
      <xdr:colOff>12700</xdr:colOff>
      <xdr:row>22</xdr:row>
      <xdr:rowOff>12700</xdr:rowOff>
    </xdr:to>
    <xdr:pic>
      <xdr:nvPicPr>
        <xdr:cNvPr id="16" name="Image 15" descr="page13image28227456">
          <a:extLst>
            <a:ext uri="{FF2B5EF4-FFF2-40B4-BE49-F238E27FC236}">
              <a16:creationId xmlns="" xmlns:a16="http://schemas.microsoft.com/office/drawing/2014/main" id="{7F7BE406-699A-9745-9DD4-939B60FB68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33700" y="433070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9</xdr:col>
      <xdr:colOff>0</xdr:colOff>
      <xdr:row>2</xdr:row>
      <xdr:rowOff>0</xdr:rowOff>
    </xdr:from>
    <xdr:ext cx="12700" cy="12700"/>
    <xdr:pic>
      <xdr:nvPicPr>
        <xdr:cNvPr id="17" name="Image 16" descr="page13image28287232">
          <a:extLst>
            <a:ext uri="{FF2B5EF4-FFF2-40B4-BE49-F238E27FC236}">
              <a16:creationId xmlns="" xmlns:a16="http://schemas.microsoft.com/office/drawing/2014/main" id="{3E06D10A-128E-CA44-972B-AF28768751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33700" y="45720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0</xdr:colOff>
      <xdr:row>2</xdr:row>
      <xdr:rowOff>0</xdr:rowOff>
    </xdr:from>
    <xdr:ext cx="12700" cy="12700"/>
    <xdr:pic>
      <xdr:nvPicPr>
        <xdr:cNvPr id="18" name="Image 17" descr="page13image28279360">
          <a:extLst>
            <a:ext uri="{FF2B5EF4-FFF2-40B4-BE49-F238E27FC236}">
              <a16:creationId xmlns="" xmlns:a16="http://schemas.microsoft.com/office/drawing/2014/main" id="{67BDAF84-5CCE-0F49-B4E7-60F5DC01AA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84700" y="45720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11</xdr:col>
      <xdr:colOff>25400</xdr:colOff>
      <xdr:row>2</xdr:row>
      <xdr:rowOff>0</xdr:rowOff>
    </xdr:from>
    <xdr:ext cx="12700" cy="12700"/>
    <xdr:pic>
      <xdr:nvPicPr>
        <xdr:cNvPr id="19" name="Image 18" descr="page13image28281472">
          <a:extLst>
            <a:ext uri="{FF2B5EF4-FFF2-40B4-BE49-F238E27FC236}">
              <a16:creationId xmlns="" xmlns:a16="http://schemas.microsoft.com/office/drawing/2014/main" id="{BCADE578-8A4F-BC47-86F1-0E59E4E0CA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10100" y="45720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9</xdr:col>
      <xdr:colOff>0</xdr:colOff>
      <xdr:row>1</xdr:row>
      <xdr:rowOff>0</xdr:rowOff>
    </xdr:from>
    <xdr:ext cx="12700" cy="12700"/>
    <xdr:pic>
      <xdr:nvPicPr>
        <xdr:cNvPr id="20" name="Image 19" descr="page13image5015744">
          <a:extLst>
            <a:ext uri="{FF2B5EF4-FFF2-40B4-BE49-F238E27FC236}">
              <a16:creationId xmlns="" xmlns:a16="http://schemas.microsoft.com/office/drawing/2014/main" id="{4F952720-7764-5048-92A5-FA3AFBE866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33700" y="203200"/>
          <a:ext cx="12700" cy="1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villedequebec-my.sharepoint.com/Z:/Mati&#232;res%20r&#233;siduelles/Inventaire%20GES%2060828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villedequebec-my.sharepoint.com/V:/Users/coopcarbone/Dropbox/PROJETS/VdQ/FTP/Bilan%20GES%202015/E&#769;quipements%20motorise&#769;s/Donne&#769;es%20analyse&#769;es/Consommations%202012_par%20unit&#233;s%20administrativ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villedequebec-my.sharepoint.com/C:/Users/coopcarbone/Dropbox/PROJETS/VdQ/FTP/Bilan%20GES%202015/E&#769;quipements%20motorise&#769;s/Donne&#769;es%20analyse&#769;es/Consommations%202012_par%20unit&#233;s%20administrativ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s généraux"/>
      <sheetName val="Bilan 1990-2006-2010"/>
      <sheetName val="Inventaire global eCO2"/>
      <sheetName val="Inventaire global CO2"/>
      <sheetName val="Inventaire global CH4"/>
      <sheetName val="Inventaire global N2O"/>
      <sheetName val="CO2 biogénique"/>
      <sheetName val="Énergie"/>
      <sheetName val="Bâtiments"/>
      <sheetName val="Bâtiments-réfrigérants"/>
      <sheetName val="Parc de véhicules"/>
      <sheetName val="Véhicules - réfrigérants"/>
      <sheetName val="Éclairage public"/>
      <sheetName val="Eaux usées"/>
      <sheetName val="Transports"/>
      <sheetName val="Transports - hors route"/>
      <sheetName val="Résidentiel"/>
      <sheetName val="Commercial"/>
      <sheetName val="Industriel"/>
      <sheetName val="Coefficients d'émissions"/>
      <sheetName val="EC-RIN-2009"/>
      <sheetName val="Captage biogaz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5">
          <cell r="C5">
            <v>2.6329999999999999E-3</v>
          </cell>
          <cell r="D5">
            <v>1.3300000000000001E-7</v>
          </cell>
          <cell r="E5">
            <v>4.0000000000000003E-7</v>
          </cell>
        </row>
        <row r="6">
          <cell r="C6">
            <v>1.9999999999999999E-6</v>
          </cell>
          <cell r="D6">
            <v>3E-10</v>
          </cell>
          <cell r="E6">
            <v>1E-10</v>
          </cell>
        </row>
        <row r="7">
          <cell r="C7">
            <v>2.725E-3</v>
          </cell>
          <cell r="D7">
            <v>2.5999999999999998E-8</v>
          </cell>
          <cell r="E7">
            <v>3.1E-8</v>
          </cell>
        </row>
        <row r="10">
          <cell r="C10">
            <v>1.8779999999999999E-3</v>
          </cell>
          <cell r="D10">
            <v>3.7E-8</v>
          </cell>
          <cell r="E10">
            <v>3.5000000000000002E-8</v>
          </cell>
        </row>
        <row r="13">
          <cell r="A13" t="str">
            <v>véhicule léger - essence 2004-2009</v>
          </cell>
        </row>
        <row r="14">
          <cell r="A14" t="str">
            <v>véhicule léger - essence 1994-2003</v>
          </cell>
        </row>
        <row r="15">
          <cell r="A15" t="str">
            <v>véhicule léger - essence 1980-1995</v>
          </cell>
        </row>
        <row r="16">
          <cell r="A16" t="str">
            <v>camion léger - essence 2004-2009</v>
          </cell>
        </row>
        <row r="17">
          <cell r="A17" t="str">
            <v>camion léger - essence 1994-2003</v>
          </cell>
        </row>
        <row r="18">
          <cell r="A18" t="str">
            <v>camion léger - essence 1980-1995</v>
          </cell>
        </row>
        <row r="19">
          <cell r="A19" t="str">
            <v>véhicule lourd - essence 1996-2010</v>
          </cell>
        </row>
        <row r="20">
          <cell r="A20" t="str">
            <v>véhicule lourd - essence 1985-1995</v>
          </cell>
        </row>
        <row r="21">
          <cell r="A21" t="str">
            <v>véhicule lourd - essence 1960-1984</v>
          </cell>
        </row>
        <row r="22">
          <cell r="A22" t="str">
            <v>motocyclette - essence 1996-2010</v>
          </cell>
        </row>
        <row r="23">
          <cell r="A23" t="str">
            <v>motocyclette - essence 1960-1995</v>
          </cell>
        </row>
        <row r="24">
          <cell r="A24" t="str">
            <v>véhicule léger - diesel 1996-2010</v>
          </cell>
        </row>
        <row r="25">
          <cell r="A25" t="str">
            <v>véhicule léger - diesel 1983-1995</v>
          </cell>
        </row>
        <row r="26">
          <cell r="A26" t="str">
            <v>véhicule léger - diesel 1960-1982</v>
          </cell>
        </row>
        <row r="27">
          <cell r="A27" t="str">
            <v>camion léger - diesel 1996-2010</v>
          </cell>
        </row>
        <row r="28">
          <cell r="A28" t="str">
            <v>camion léger - diesel 1983-1995</v>
          </cell>
        </row>
        <row r="29">
          <cell r="A29" t="str">
            <v>camion léger - diesel 1960-1982</v>
          </cell>
        </row>
        <row r="30">
          <cell r="A30" t="str">
            <v>véhicule lourd - diesel - 1996-2010</v>
          </cell>
        </row>
        <row r="31">
          <cell r="A31" t="str">
            <v>véhicule lourd - diesel - 1983-1995</v>
          </cell>
        </row>
        <row r="32">
          <cell r="A32" t="str">
            <v>véhicule lourd - diesel - 1960-1982</v>
          </cell>
        </row>
        <row r="33">
          <cell r="A33" t="str">
            <v>véhicule hors route essence</v>
          </cell>
        </row>
        <row r="34">
          <cell r="A34" t="str">
            <v>véhicule hors route diesel</v>
          </cell>
        </row>
        <row r="35">
          <cell r="A35" t="str">
            <v>véhicule au propane</v>
          </cell>
        </row>
        <row r="38">
          <cell r="C38">
            <v>21</v>
          </cell>
        </row>
        <row r="39">
          <cell r="C39">
            <v>310</v>
          </cell>
        </row>
      </sheetData>
      <sheetData sheetId="20"/>
      <sheetData sheetId="2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 déroulant"/>
    </sheetNames>
    <sheetDataSet>
      <sheetData sheetId="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 déroulant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.bin"/><Relationship Id="rId2" Type="http://schemas.openxmlformats.org/officeDocument/2006/relationships/hyperlink" Target="http://www.stat.gouv.qc.ca/statistiques/profils/panorama-regions-2017.pdf" TargetMode="External"/><Relationship Id="rId1" Type="http://schemas.openxmlformats.org/officeDocument/2006/relationships/hyperlink" Target="http://oee.nrcan.gc.ca/organisme/statistiques/bnce/apd/tableauxevolution2/tran_qc_8_f_4.cfm?attr=0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pcc-nggip.iges.or.jp/public/2006gl/pdf/5_Volume5/V5_3_Ch3_SWDS.pdf" TargetMode="External"/><Relationship Id="rId2" Type="http://schemas.openxmlformats.org/officeDocument/2006/relationships/hyperlink" Target="http://unfccc.int/national_reports/annex_i_ghg_inventories/national_inventories_submissions/items/5888.php" TargetMode="External"/><Relationship Id="rId1" Type="http://schemas.openxmlformats.org/officeDocument/2006/relationships/hyperlink" Target="http://www.recyc-quebec.gouv.qc.ca/prorecyc/docs/caracterisation_mat_resi.pdf" TargetMode="External"/><Relationship Id="rId4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AN100"/>
  <sheetViews>
    <sheetView topLeftCell="B26" workbookViewId="0">
      <selection activeCell="A32" sqref="A1:XFD1048576"/>
    </sheetView>
  </sheetViews>
  <sheetFormatPr baseColWidth="10" defaultColWidth="11" defaultRowHeight="15.5" x14ac:dyDescent="0.35"/>
  <cols>
    <col min="1" max="1" width="37.796875" style="16" customWidth="1"/>
    <col min="2" max="2" width="96" style="16" customWidth="1"/>
    <col min="3" max="21" width="13.796875" style="16" customWidth="1"/>
    <col min="22" max="40" width="13.796875" style="13" customWidth="1"/>
    <col min="41" max="16384" width="11" style="20"/>
  </cols>
  <sheetData>
    <row r="1" spans="1:21" s="44" customFormat="1" ht="28" customHeight="1" x14ac:dyDescent="0.35">
      <c r="A1" s="42" t="s">
        <v>440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</row>
    <row r="3" spans="1:21" s="13" customFormat="1" x14ac:dyDescent="0.35">
      <c r="A3" s="16"/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</row>
    <row r="4" spans="1:21" s="13" customFormat="1" x14ac:dyDescent="0.35">
      <c r="A4" s="16"/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</row>
    <row r="5" spans="1:21" s="13" customFormat="1" x14ac:dyDescent="0.35">
      <c r="A5" s="16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</row>
    <row r="6" spans="1:21" s="13" customFormat="1" x14ac:dyDescent="0.35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</row>
    <row r="7" spans="1:21" s="13" customFormat="1" x14ac:dyDescent="0.35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</row>
    <row r="8" spans="1:21" s="13" customFormat="1" x14ac:dyDescent="0.35">
      <c r="A8" s="16"/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  <c r="U8" s="16"/>
    </row>
    <row r="9" spans="1:21" s="13" customFormat="1" x14ac:dyDescent="0.35">
      <c r="A9" s="16"/>
      <c r="B9" s="16"/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  <c r="U9" s="16"/>
    </row>
    <row r="10" spans="1:21" s="13" customFormat="1" x14ac:dyDescent="0.35">
      <c r="A10" s="16"/>
      <c r="B10" s="16"/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</row>
    <row r="11" spans="1:21" s="13" customFormat="1" x14ac:dyDescent="0.35">
      <c r="A11" s="16"/>
      <c r="B11" s="16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</row>
    <row r="12" spans="1:21" s="13" customFormat="1" x14ac:dyDescent="0.35">
      <c r="A12" s="16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</row>
    <row r="13" spans="1:21" s="13" customFormat="1" x14ac:dyDescent="0.35">
      <c r="A13" s="16"/>
      <c r="B13" s="16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</row>
    <row r="14" spans="1:21" s="13" customFormat="1" x14ac:dyDescent="0.35">
      <c r="A14" s="16"/>
      <c r="B14" s="17"/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</row>
    <row r="15" spans="1:21" s="13" customFormat="1" x14ac:dyDescent="0.35">
      <c r="A15" s="21" t="s">
        <v>431</v>
      </c>
      <c r="B15" s="15">
        <v>1</v>
      </c>
      <c r="C15" s="16"/>
      <c r="D15" s="16"/>
      <c r="E15" s="16"/>
      <c r="F15" s="16"/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</row>
    <row r="16" spans="1:21" s="13" customFormat="1" x14ac:dyDescent="0.35">
      <c r="A16" s="21" t="s">
        <v>763</v>
      </c>
      <c r="B16" s="15">
        <v>1</v>
      </c>
      <c r="C16" s="16"/>
      <c r="D16" s="16"/>
      <c r="E16" s="16"/>
      <c r="F16" s="16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</row>
    <row r="17" spans="1:21" s="13" customFormat="1" x14ac:dyDescent="0.35">
      <c r="A17" s="21" t="s">
        <v>433</v>
      </c>
      <c r="B17" s="19">
        <v>43721</v>
      </c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</row>
    <row r="18" spans="1:21" s="13" customFormat="1" x14ac:dyDescent="0.35">
      <c r="A18" s="14" t="s">
        <v>107</v>
      </c>
      <c r="B18" s="18" t="s">
        <v>434</v>
      </c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</row>
    <row r="19" spans="1:21" s="13" customFormat="1" x14ac:dyDescent="0.35">
      <c r="A19" s="22"/>
      <c r="B19" s="23"/>
      <c r="C19" s="22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</row>
    <row r="20" spans="1:21" s="13" customFormat="1" x14ac:dyDescent="0.35">
      <c r="A20" s="14" t="s">
        <v>710</v>
      </c>
      <c r="B20" s="45">
        <v>574321</v>
      </c>
      <c r="C20" s="16" t="s">
        <v>436</v>
      </c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</row>
    <row r="21" spans="1:21" s="13" customFormat="1" x14ac:dyDescent="0.35">
      <c r="A21" s="14" t="s">
        <v>609</v>
      </c>
      <c r="B21" s="45">
        <v>8297717</v>
      </c>
      <c r="C21" s="16" t="s">
        <v>610</v>
      </c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</row>
    <row r="22" spans="1:21" s="13" customFormat="1" x14ac:dyDescent="0.35">
      <c r="A22" s="14" t="s">
        <v>432</v>
      </c>
      <c r="B22" s="18">
        <v>2017</v>
      </c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</row>
    <row r="23" spans="1:21" s="13" customFormat="1" x14ac:dyDescent="0.35">
      <c r="A23" s="22"/>
      <c r="B23" s="23"/>
      <c r="C23" s="22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</row>
    <row r="24" spans="1:21" s="13" customFormat="1" ht="83.15" customHeight="1" x14ac:dyDescent="0.35">
      <c r="A24" s="784" t="s">
        <v>760</v>
      </c>
      <c r="B24" s="785"/>
      <c r="C24" s="785"/>
      <c r="D24" s="785"/>
      <c r="E24" s="785"/>
      <c r="F24" s="785"/>
      <c r="G24" s="785"/>
      <c r="H24" s="785"/>
      <c r="I24" s="785"/>
      <c r="J24" s="785"/>
      <c r="K24" s="785"/>
      <c r="L24" s="785"/>
      <c r="M24" s="16"/>
      <c r="N24" s="16"/>
      <c r="O24" s="16"/>
      <c r="P24" s="16"/>
      <c r="Q24" s="16"/>
      <c r="R24" s="16"/>
      <c r="S24" s="16"/>
      <c r="T24" s="16"/>
      <c r="U24" s="16"/>
    </row>
    <row r="25" spans="1:21" s="13" customFormat="1" x14ac:dyDescent="0.35">
      <c r="A25" s="16"/>
      <c r="B25" s="16"/>
      <c r="C25" s="16"/>
      <c r="D25" s="16"/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</row>
    <row r="26" spans="1:21" s="13" customFormat="1" ht="32.15" customHeight="1" x14ac:dyDescent="0.35">
      <c r="A26" s="789" t="s">
        <v>452</v>
      </c>
      <c r="B26" s="789"/>
      <c r="C26" s="16"/>
      <c r="D26" s="16"/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</row>
    <row r="27" spans="1:21" s="13" customFormat="1" x14ac:dyDescent="0.35">
      <c r="A27" s="38" t="s">
        <v>441</v>
      </c>
      <c r="B27" s="38" t="s">
        <v>444</v>
      </c>
      <c r="C27" s="16"/>
      <c r="D27" s="16"/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</row>
    <row r="28" spans="1:21" s="13" customFormat="1" ht="46" customHeight="1" x14ac:dyDescent="0.35">
      <c r="A28" s="787" t="s">
        <v>575</v>
      </c>
      <c r="B28" s="56" t="s">
        <v>457</v>
      </c>
      <c r="C28" s="16"/>
      <c r="D28" s="16"/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</row>
    <row r="29" spans="1:21" s="13" customFormat="1" ht="44.15" customHeight="1" x14ac:dyDescent="0.35">
      <c r="A29" s="790"/>
      <c r="B29" s="56" t="s">
        <v>458</v>
      </c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</row>
    <row r="30" spans="1:21" s="13" customFormat="1" ht="44.15" customHeight="1" x14ac:dyDescent="0.35">
      <c r="A30" s="787" t="s">
        <v>26</v>
      </c>
      <c r="B30" s="56" t="s">
        <v>501</v>
      </c>
      <c r="C30" s="16"/>
      <c r="D30" s="16"/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</row>
    <row r="31" spans="1:21" s="13" customFormat="1" ht="43" customHeight="1" x14ac:dyDescent="0.35">
      <c r="A31" s="790"/>
      <c r="B31" s="56" t="s">
        <v>502</v>
      </c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</row>
    <row r="32" spans="1:21" s="13" customFormat="1" ht="27" customHeight="1" x14ac:dyDescent="0.35">
      <c r="A32" s="786" t="s">
        <v>60</v>
      </c>
      <c r="B32" s="56" t="s">
        <v>459</v>
      </c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</row>
    <row r="33" spans="1:21" s="13" customFormat="1" ht="42" customHeight="1" x14ac:dyDescent="0.35">
      <c r="A33" s="786"/>
      <c r="B33" s="56" t="s">
        <v>460</v>
      </c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</row>
    <row r="34" spans="1:21" s="13" customFormat="1" ht="24" customHeight="1" x14ac:dyDescent="0.35">
      <c r="A34" s="786"/>
      <c r="B34" s="56" t="s">
        <v>461</v>
      </c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</row>
    <row r="35" spans="1:21" s="13" customFormat="1" ht="26.15" customHeight="1" x14ac:dyDescent="0.35">
      <c r="A35" s="786"/>
      <c r="B35" s="56" t="s">
        <v>462</v>
      </c>
      <c r="C35" s="16"/>
      <c r="D35" s="16"/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</row>
    <row r="36" spans="1:21" s="13" customFormat="1" ht="27" customHeight="1" x14ac:dyDescent="0.35">
      <c r="A36" s="786"/>
      <c r="B36" s="56" t="s">
        <v>453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</row>
    <row r="37" spans="1:21" s="13" customFormat="1" ht="25" customHeight="1" x14ac:dyDescent="0.35">
      <c r="A37" s="787" t="s">
        <v>148</v>
      </c>
      <c r="B37" s="56" t="s">
        <v>463</v>
      </c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</row>
    <row r="38" spans="1:21" s="13" customFormat="1" ht="24" customHeight="1" x14ac:dyDescent="0.35">
      <c r="A38" s="788"/>
      <c r="B38" s="56" t="s">
        <v>454</v>
      </c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</row>
    <row r="39" spans="1:21" s="13" customFormat="1" ht="24" customHeight="1" x14ac:dyDescent="0.35">
      <c r="A39" s="788"/>
      <c r="B39" s="56" t="s">
        <v>464</v>
      </c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</row>
    <row r="40" spans="1:21" s="13" customFormat="1" ht="24" customHeight="1" x14ac:dyDescent="0.35">
      <c r="A40" s="788"/>
      <c r="B40" s="56" t="s">
        <v>465</v>
      </c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</row>
    <row r="41" spans="1:21" s="13" customFormat="1" ht="35.15" customHeight="1" x14ac:dyDescent="0.35">
      <c r="A41" s="37" t="s">
        <v>96</v>
      </c>
      <c r="B41" s="59" t="s">
        <v>466</v>
      </c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</row>
    <row r="42" spans="1:21" s="13" customFormat="1" ht="24" customHeight="1" x14ac:dyDescent="0.35">
      <c r="A42" s="787" t="s">
        <v>149</v>
      </c>
      <c r="B42" s="59" t="s">
        <v>467</v>
      </c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</row>
    <row r="43" spans="1:21" s="13" customFormat="1" ht="24" customHeight="1" x14ac:dyDescent="0.35">
      <c r="A43" s="788"/>
      <c r="B43" s="59" t="s">
        <v>468</v>
      </c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</row>
    <row r="44" spans="1:21" s="13" customFormat="1" ht="38.15" customHeight="1" x14ac:dyDescent="0.35">
      <c r="A44" s="788"/>
      <c r="B44" s="56" t="s">
        <v>895</v>
      </c>
      <c r="C44" s="16"/>
      <c r="D44" s="16"/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</row>
    <row r="45" spans="1:21" s="13" customFormat="1" ht="38.15" customHeight="1" x14ac:dyDescent="0.35">
      <c r="A45" s="37" t="s">
        <v>124</v>
      </c>
      <c r="B45" s="56" t="s">
        <v>469</v>
      </c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</row>
    <row r="46" spans="1:21" s="13" customFormat="1" ht="45" customHeight="1" x14ac:dyDescent="0.35">
      <c r="A46" s="783" t="s">
        <v>314</v>
      </c>
      <c r="B46" s="768" t="s">
        <v>896</v>
      </c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</row>
    <row r="47" spans="1:21" s="13" customFormat="1" ht="37" customHeight="1" x14ac:dyDescent="0.35">
      <c r="A47" s="783"/>
      <c r="B47" s="768" t="s">
        <v>898</v>
      </c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</row>
    <row r="48" spans="1:21" s="13" customFormat="1" ht="24" customHeight="1" x14ac:dyDescent="0.35">
      <c r="A48" s="783"/>
      <c r="B48" s="769" t="s">
        <v>897</v>
      </c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</row>
    <row r="49" spans="1:21" s="13" customFormat="1" x14ac:dyDescent="0.35">
      <c r="A49" s="16"/>
      <c r="B49" s="16"/>
      <c r="C49" s="16"/>
      <c r="D49" s="16"/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</row>
    <row r="50" spans="1:21" s="13" customFormat="1" x14ac:dyDescent="0.35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</row>
    <row r="51" spans="1:21" s="13" customFormat="1" x14ac:dyDescent="0.35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</row>
    <row r="52" spans="1:21" s="13" customFormat="1" x14ac:dyDescent="0.35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</row>
    <row r="53" spans="1:21" s="13" customFormat="1" x14ac:dyDescent="0.3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  <row r="54" spans="1:21" s="13" customFormat="1" x14ac:dyDescent="0.35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</row>
    <row r="55" spans="1:21" s="13" customFormat="1" x14ac:dyDescent="0.35">
      <c r="A55" s="16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</row>
    <row r="56" spans="1:21" s="13" customFormat="1" x14ac:dyDescent="0.35">
      <c r="A56" s="16"/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</row>
    <row r="57" spans="1:21" s="13" customFormat="1" x14ac:dyDescent="0.35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</row>
    <row r="58" spans="1:21" s="13" customFormat="1" x14ac:dyDescent="0.35">
      <c r="A58" s="16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</row>
    <row r="59" spans="1:21" s="13" customFormat="1" x14ac:dyDescent="0.35">
      <c r="A59" s="16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</row>
    <row r="60" spans="1:21" s="13" customFormat="1" x14ac:dyDescent="0.35">
      <c r="A60" s="16"/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</row>
    <row r="61" spans="1:21" s="13" customFormat="1" x14ac:dyDescent="0.35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</row>
    <row r="62" spans="1:21" s="13" customFormat="1" x14ac:dyDescent="0.35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</row>
    <row r="63" spans="1:21" s="13" customFormat="1" x14ac:dyDescent="0.35">
      <c r="A63" s="16"/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</row>
    <row r="64" spans="1:21" s="13" customFormat="1" x14ac:dyDescent="0.35">
      <c r="A64" s="16"/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</row>
    <row r="65" spans="1:21" s="13" customFormat="1" x14ac:dyDescent="0.35">
      <c r="A65" s="16"/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</row>
    <row r="66" spans="1:21" s="13" customFormat="1" x14ac:dyDescent="0.35">
      <c r="A66" s="16"/>
      <c r="B66" s="16"/>
      <c r="C66" s="16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</row>
    <row r="67" spans="1:21" s="13" customFormat="1" x14ac:dyDescent="0.35">
      <c r="A67" s="16"/>
      <c r="B67" s="16"/>
      <c r="C67" s="16"/>
      <c r="D67" s="16"/>
      <c r="E67" s="16"/>
      <c r="F67" s="16"/>
      <c r="G67" s="16"/>
      <c r="H67" s="16"/>
      <c r="I67" s="16"/>
      <c r="J67" s="16"/>
      <c r="K67" s="16"/>
      <c r="L67" s="16"/>
      <c r="M67" s="16"/>
      <c r="N67" s="16"/>
      <c r="O67" s="16"/>
      <c r="P67" s="16"/>
      <c r="Q67" s="16"/>
      <c r="R67" s="16"/>
      <c r="S67" s="16"/>
      <c r="T67" s="16"/>
      <c r="U67" s="16"/>
    </row>
    <row r="68" spans="1:21" s="13" customFormat="1" x14ac:dyDescent="0.35">
      <c r="A68" s="16"/>
      <c r="B68" s="16"/>
      <c r="C68" s="16"/>
      <c r="D68" s="16"/>
      <c r="E68" s="16"/>
      <c r="F68" s="16"/>
      <c r="G68" s="16"/>
      <c r="H68" s="16"/>
      <c r="I68" s="16"/>
      <c r="J68" s="16"/>
      <c r="K68" s="16"/>
      <c r="L68" s="16"/>
      <c r="M68" s="16"/>
      <c r="N68" s="16"/>
      <c r="O68" s="16"/>
      <c r="P68" s="16"/>
      <c r="Q68" s="16"/>
      <c r="R68" s="16"/>
      <c r="S68" s="16"/>
      <c r="T68" s="16"/>
      <c r="U68" s="16"/>
    </row>
    <row r="69" spans="1:21" s="13" customFormat="1" x14ac:dyDescent="0.35">
      <c r="A69" s="16"/>
      <c r="B69" s="16"/>
      <c r="C69" s="16"/>
      <c r="D69" s="16"/>
      <c r="E69" s="16"/>
      <c r="F69" s="16"/>
      <c r="G69" s="16"/>
      <c r="H69" s="16"/>
      <c r="I69" s="16"/>
      <c r="J69" s="16"/>
      <c r="K69" s="16"/>
      <c r="L69" s="16"/>
      <c r="M69" s="16"/>
      <c r="N69" s="16"/>
      <c r="O69" s="16"/>
      <c r="P69" s="16"/>
      <c r="Q69" s="16"/>
      <c r="R69" s="16"/>
      <c r="S69" s="16"/>
      <c r="T69" s="16"/>
      <c r="U69" s="16"/>
    </row>
    <row r="70" spans="1:21" s="13" customFormat="1" x14ac:dyDescent="0.35">
      <c r="A70" s="16"/>
      <c r="B70" s="16"/>
      <c r="C70" s="16"/>
      <c r="D70" s="16"/>
      <c r="E70" s="16"/>
      <c r="F70" s="16"/>
      <c r="G70" s="16"/>
      <c r="H70" s="16"/>
      <c r="I70" s="16"/>
      <c r="J70" s="16"/>
      <c r="K70" s="16"/>
      <c r="L70" s="16"/>
      <c r="M70" s="16"/>
      <c r="N70" s="16"/>
      <c r="O70" s="16"/>
      <c r="P70" s="16"/>
      <c r="Q70" s="16"/>
      <c r="R70" s="16"/>
      <c r="S70" s="16"/>
      <c r="T70" s="16"/>
      <c r="U70" s="16"/>
    </row>
    <row r="71" spans="1:21" s="13" customFormat="1" x14ac:dyDescent="0.35">
      <c r="A71" s="16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</row>
    <row r="72" spans="1:21" s="13" customFormat="1" x14ac:dyDescent="0.35">
      <c r="A72" s="16"/>
      <c r="B72" s="16"/>
      <c r="C72" s="16"/>
      <c r="D72" s="16"/>
      <c r="E72" s="16"/>
      <c r="F72" s="16"/>
      <c r="G72" s="16"/>
      <c r="H72" s="16"/>
      <c r="I72" s="16"/>
      <c r="J72" s="16"/>
      <c r="K72" s="16"/>
      <c r="L72" s="16"/>
      <c r="M72" s="16"/>
      <c r="N72" s="16"/>
      <c r="O72" s="16"/>
      <c r="P72" s="16"/>
      <c r="Q72" s="16"/>
      <c r="R72" s="16"/>
      <c r="S72" s="16"/>
      <c r="T72" s="16"/>
      <c r="U72" s="16"/>
    </row>
    <row r="73" spans="1:21" s="13" customFormat="1" x14ac:dyDescent="0.35">
      <c r="A73" s="16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6"/>
      <c r="N73" s="16"/>
      <c r="O73" s="16"/>
      <c r="P73" s="16"/>
      <c r="Q73" s="16"/>
      <c r="R73" s="16"/>
      <c r="S73" s="16"/>
      <c r="T73" s="16"/>
      <c r="U73" s="16"/>
    </row>
    <row r="74" spans="1:21" s="13" customFormat="1" x14ac:dyDescent="0.35">
      <c r="A74" s="16"/>
      <c r="B74" s="16"/>
      <c r="C74" s="16"/>
      <c r="D74" s="16"/>
      <c r="E74" s="16"/>
      <c r="F74" s="16"/>
      <c r="G74" s="16"/>
      <c r="H74" s="16"/>
      <c r="I74" s="16"/>
      <c r="J74" s="16"/>
      <c r="K74" s="16"/>
      <c r="L74" s="16"/>
      <c r="M74" s="16"/>
      <c r="N74" s="16"/>
      <c r="O74" s="16"/>
      <c r="P74" s="16"/>
      <c r="Q74" s="16"/>
      <c r="R74" s="16"/>
      <c r="S74" s="16"/>
      <c r="T74" s="16"/>
      <c r="U74" s="16"/>
    </row>
    <row r="75" spans="1:21" s="13" customFormat="1" x14ac:dyDescent="0.35">
      <c r="A75" s="16"/>
      <c r="B75" s="16"/>
      <c r="C75" s="16"/>
      <c r="D75" s="16"/>
      <c r="E75" s="16"/>
      <c r="F75" s="16"/>
      <c r="G75" s="16"/>
      <c r="H75" s="16"/>
      <c r="I75" s="16"/>
      <c r="J75" s="16"/>
      <c r="K75" s="16"/>
      <c r="L75" s="16"/>
      <c r="M75" s="16"/>
      <c r="N75" s="16"/>
      <c r="O75" s="16"/>
      <c r="P75" s="16"/>
      <c r="Q75" s="16"/>
      <c r="R75" s="16"/>
      <c r="S75" s="16"/>
      <c r="T75" s="16"/>
      <c r="U75" s="16"/>
    </row>
    <row r="76" spans="1:21" s="13" customFormat="1" x14ac:dyDescent="0.35">
      <c r="A76" s="16"/>
      <c r="B76" s="16"/>
      <c r="C76" s="16"/>
      <c r="D76" s="16"/>
      <c r="E76" s="16"/>
      <c r="F76" s="16"/>
      <c r="G76" s="16"/>
      <c r="H76" s="16"/>
      <c r="I76" s="16"/>
      <c r="J76" s="16"/>
      <c r="K76" s="16"/>
      <c r="L76" s="16"/>
      <c r="M76" s="16"/>
      <c r="N76" s="16"/>
      <c r="O76" s="16"/>
      <c r="P76" s="16"/>
      <c r="Q76" s="16"/>
      <c r="R76" s="16"/>
      <c r="S76" s="16"/>
      <c r="T76" s="16"/>
      <c r="U76" s="16"/>
    </row>
    <row r="77" spans="1:21" s="13" customFormat="1" x14ac:dyDescent="0.35">
      <c r="A77" s="16"/>
      <c r="B77" s="16"/>
      <c r="C77" s="16"/>
      <c r="D77" s="16"/>
      <c r="E77" s="16"/>
      <c r="F77" s="16"/>
      <c r="G77" s="16"/>
      <c r="H77" s="16"/>
      <c r="I77" s="16"/>
      <c r="J77" s="16"/>
      <c r="K77" s="16"/>
      <c r="L77" s="16"/>
      <c r="M77" s="16"/>
      <c r="N77" s="16"/>
      <c r="O77" s="16"/>
      <c r="P77" s="16"/>
      <c r="Q77" s="16"/>
      <c r="R77" s="16"/>
      <c r="S77" s="16"/>
      <c r="T77" s="16"/>
      <c r="U77" s="16"/>
    </row>
    <row r="78" spans="1:21" s="13" customFormat="1" x14ac:dyDescent="0.35">
      <c r="A78" s="16"/>
      <c r="B78" s="16"/>
      <c r="C78" s="16"/>
      <c r="D78" s="16"/>
      <c r="E78" s="16"/>
      <c r="F78" s="16"/>
      <c r="G78" s="16"/>
      <c r="H78" s="16"/>
      <c r="I78" s="16"/>
      <c r="J78" s="16"/>
      <c r="K78" s="16"/>
      <c r="L78" s="16"/>
      <c r="M78" s="16"/>
      <c r="N78" s="16"/>
      <c r="O78" s="16"/>
      <c r="P78" s="16"/>
      <c r="Q78" s="16"/>
      <c r="R78" s="16"/>
      <c r="S78" s="16"/>
      <c r="T78" s="16"/>
      <c r="U78" s="16"/>
    </row>
    <row r="79" spans="1:21" s="13" customFormat="1" x14ac:dyDescent="0.35">
      <c r="A79" s="16"/>
      <c r="B79" s="16"/>
      <c r="C79" s="16"/>
      <c r="D79" s="16"/>
      <c r="E79" s="16"/>
      <c r="F79" s="16"/>
      <c r="G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</row>
    <row r="80" spans="1:21" s="13" customFormat="1" x14ac:dyDescent="0.35">
      <c r="A80" s="16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</row>
    <row r="81" spans="1:21" s="13" customFormat="1" x14ac:dyDescent="0.35">
      <c r="A81" s="16"/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  <c r="Q81" s="16"/>
      <c r="R81" s="16"/>
      <c r="S81" s="16"/>
      <c r="T81" s="16"/>
      <c r="U81" s="16"/>
    </row>
    <row r="82" spans="1:21" s="13" customFormat="1" x14ac:dyDescent="0.35">
      <c r="A82" s="16"/>
      <c r="B82" s="16"/>
      <c r="C82" s="16"/>
      <c r="D82" s="16"/>
      <c r="E82" s="16"/>
      <c r="F82" s="16"/>
      <c r="G82" s="16"/>
      <c r="H82" s="16"/>
      <c r="I82" s="16"/>
      <c r="J82" s="16"/>
      <c r="K82" s="16"/>
      <c r="L82" s="16"/>
      <c r="M82" s="16"/>
      <c r="N82" s="16"/>
      <c r="O82" s="16"/>
      <c r="P82" s="16"/>
      <c r="Q82" s="16"/>
      <c r="R82" s="16"/>
      <c r="S82" s="16"/>
      <c r="T82" s="16"/>
      <c r="U82" s="16"/>
    </row>
    <row r="83" spans="1:21" s="13" customFormat="1" x14ac:dyDescent="0.35">
      <c r="A83" s="16"/>
      <c r="B83" s="16"/>
      <c r="C83" s="16"/>
      <c r="D83" s="16"/>
      <c r="E83" s="16"/>
      <c r="F83" s="16"/>
      <c r="G83" s="16"/>
      <c r="H83" s="16"/>
      <c r="I83" s="16"/>
      <c r="J83" s="16"/>
      <c r="K83" s="16"/>
      <c r="L83" s="16"/>
      <c r="M83" s="16"/>
      <c r="N83" s="16"/>
      <c r="O83" s="16"/>
      <c r="P83" s="16"/>
      <c r="Q83" s="16"/>
      <c r="R83" s="16"/>
      <c r="S83" s="16"/>
      <c r="T83" s="16"/>
      <c r="U83" s="16"/>
    </row>
    <row r="84" spans="1:21" s="13" customFormat="1" x14ac:dyDescent="0.35">
      <c r="A84" s="16"/>
      <c r="B84" s="16"/>
      <c r="C84" s="16"/>
      <c r="D84" s="16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16"/>
      <c r="P84" s="16"/>
      <c r="Q84" s="16"/>
      <c r="R84" s="16"/>
      <c r="S84" s="16"/>
      <c r="T84" s="16"/>
      <c r="U84" s="16"/>
    </row>
    <row r="85" spans="1:21" s="13" customFormat="1" x14ac:dyDescent="0.35">
      <c r="A85" s="16"/>
      <c r="B85" s="16"/>
      <c r="C85" s="16"/>
      <c r="D85" s="16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16"/>
      <c r="P85" s="16"/>
      <c r="Q85" s="16"/>
      <c r="R85" s="16"/>
      <c r="S85" s="16"/>
      <c r="T85" s="16"/>
      <c r="U85" s="16"/>
    </row>
    <row r="86" spans="1:21" s="13" customFormat="1" x14ac:dyDescent="0.35">
      <c r="A86" s="16"/>
      <c r="B86" s="16"/>
      <c r="C86" s="16"/>
      <c r="D86" s="16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16"/>
      <c r="P86" s="16"/>
      <c r="Q86" s="16"/>
      <c r="R86" s="16"/>
      <c r="S86" s="16"/>
      <c r="T86" s="16"/>
      <c r="U86" s="16"/>
    </row>
    <row r="87" spans="1:21" s="13" customFormat="1" x14ac:dyDescent="0.35">
      <c r="A87" s="16"/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  <c r="Q87" s="16"/>
      <c r="R87" s="16"/>
      <c r="S87" s="16"/>
      <c r="T87" s="16"/>
      <c r="U87" s="16"/>
    </row>
    <row r="88" spans="1:21" s="13" customFormat="1" x14ac:dyDescent="0.35">
      <c r="A88" s="16"/>
      <c r="B88" s="16"/>
      <c r="C88" s="16"/>
      <c r="D88" s="16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16"/>
      <c r="P88" s="16"/>
      <c r="Q88" s="16"/>
      <c r="R88" s="16"/>
      <c r="S88" s="16"/>
      <c r="T88" s="16"/>
      <c r="U88" s="16"/>
    </row>
    <row r="89" spans="1:21" s="13" customFormat="1" x14ac:dyDescent="0.35">
      <c r="A89" s="16"/>
      <c r="B89" s="16"/>
      <c r="C89" s="16"/>
      <c r="D89" s="16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16"/>
      <c r="P89" s="16"/>
      <c r="Q89" s="16"/>
      <c r="R89" s="16"/>
      <c r="S89" s="16"/>
      <c r="T89" s="16"/>
      <c r="U89" s="16"/>
    </row>
    <row r="90" spans="1:21" s="13" customFormat="1" x14ac:dyDescent="0.35">
      <c r="A90" s="16"/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  <c r="Q90" s="16"/>
      <c r="R90" s="16"/>
      <c r="S90" s="16"/>
      <c r="T90" s="16"/>
      <c r="U90" s="16"/>
    </row>
    <row r="91" spans="1:21" s="13" customFormat="1" x14ac:dyDescent="0.35">
      <c r="A91" s="16"/>
      <c r="B91" s="16"/>
      <c r="C91" s="16"/>
      <c r="D91" s="16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  <c r="Q91" s="16"/>
      <c r="R91" s="16"/>
      <c r="S91" s="16"/>
      <c r="T91" s="16"/>
      <c r="U91" s="16"/>
    </row>
    <row r="92" spans="1:21" s="13" customFormat="1" x14ac:dyDescent="0.35">
      <c r="A92" s="16"/>
      <c r="B92" s="16"/>
      <c r="C92" s="16"/>
      <c r="D92" s="16"/>
      <c r="E92" s="16"/>
      <c r="F92" s="16"/>
      <c r="G92" s="16"/>
      <c r="H92" s="16"/>
      <c r="I92" s="16"/>
      <c r="J92" s="16"/>
      <c r="K92" s="16"/>
      <c r="L92" s="16"/>
      <c r="M92" s="16"/>
      <c r="N92" s="16"/>
      <c r="O92" s="16"/>
      <c r="P92" s="16"/>
      <c r="Q92" s="16"/>
      <c r="R92" s="16"/>
      <c r="S92" s="16"/>
      <c r="T92" s="16"/>
      <c r="U92" s="16"/>
    </row>
    <row r="93" spans="1:21" s="13" customFormat="1" x14ac:dyDescent="0.35">
      <c r="A93" s="16"/>
      <c r="B93" s="16"/>
      <c r="C93" s="16"/>
      <c r="D93" s="16"/>
      <c r="E93" s="16"/>
      <c r="F93" s="16"/>
      <c r="G93" s="16"/>
      <c r="H93" s="16"/>
      <c r="I93" s="16"/>
      <c r="J93" s="16"/>
      <c r="K93" s="16"/>
      <c r="L93" s="16"/>
      <c r="M93" s="16"/>
      <c r="N93" s="16"/>
      <c r="O93" s="16"/>
      <c r="P93" s="16"/>
      <c r="Q93" s="16"/>
      <c r="R93" s="16"/>
      <c r="S93" s="16"/>
      <c r="T93" s="16"/>
      <c r="U93" s="16"/>
    </row>
    <row r="94" spans="1:21" s="13" customFormat="1" x14ac:dyDescent="0.35">
      <c r="A94" s="16"/>
      <c r="B94" s="16"/>
      <c r="C94" s="16"/>
      <c r="D94" s="16"/>
      <c r="E94" s="16"/>
      <c r="F94" s="16"/>
      <c r="G94" s="16"/>
      <c r="H94" s="16"/>
      <c r="I94" s="16"/>
      <c r="J94" s="16"/>
      <c r="K94" s="16"/>
      <c r="L94" s="16"/>
      <c r="M94" s="16"/>
      <c r="N94" s="16"/>
      <c r="O94" s="16"/>
      <c r="P94" s="16"/>
      <c r="Q94" s="16"/>
      <c r="R94" s="16"/>
      <c r="S94" s="16"/>
      <c r="T94" s="16"/>
      <c r="U94" s="16"/>
    </row>
    <row r="95" spans="1:21" s="13" customFormat="1" x14ac:dyDescent="0.35">
      <c r="A95" s="16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</row>
    <row r="96" spans="1:21" s="13" customFormat="1" x14ac:dyDescent="0.35">
      <c r="A96" s="16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  <c r="Q96" s="16"/>
      <c r="R96" s="16"/>
      <c r="S96" s="16"/>
      <c r="T96" s="16"/>
      <c r="U96" s="16"/>
    </row>
    <row r="97" spans="1:21" s="13" customFormat="1" x14ac:dyDescent="0.35">
      <c r="A97" s="16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  <c r="Q97" s="16"/>
      <c r="R97" s="16"/>
      <c r="S97" s="16"/>
      <c r="T97" s="16"/>
      <c r="U97" s="16"/>
    </row>
    <row r="98" spans="1:21" s="13" customFormat="1" x14ac:dyDescent="0.35">
      <c r="A98" s="16"/>
      <c r="B98" s="16"/>
      <c r="C98" s="16"/>
      <c r="D98" s="16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  <c r="Q98" s="16"/>
      <c r="R98" s="16"/>
      <c r="S98" s="16"/>
      <c r="T98" s="16"/>
      <c r="U98" s="16"/>
    </row>
    <row r="99" spans="1:21" s="13" customFormat="1" x14ac:dyDescent="0.35">
      <c r="A99" s="16"/>
      <c r="B99" s="16"/>
      <c r="C99" s="16"/>
      <c r="D99" s="16"/>
      <c r="E99" s="16"/>
      <c r="F99" s="16"/>
      <c r="G99" s="16"/>
      <c r="H99" s="16"/>
      <c r="I99" s="16"/>
      <c r="J99" s="16"/>
      <c r="K99" s="16"/>
      <c r="L99" s="16"/>
      <c r="M99" s="16"/>
      <c r="N99" s="16"/>
      <c r="O99" s="16"/>
      <c r="P99" s="16"/>
      <c r="Q99" s="16"/>
      <c r="R99" s="16"/>
      <c r="S99" s="16"/>
      <c r="T99" s="16"/>
      <c r="U99" s="16"/>
    </row>
    <row r="100" spans="1:21" s="13" customFormat="1" x14ac:dyDescent="0.35">
      <c r="A100" s="16"/>
      <c r="B100" s="16"/>
      <c r="C100" s="16"/>
      <c r="D100" s="16"/>
      <c r="E100" s="16"/>
      <c r="F100" s="16"/>
      <c r="G100" s="16"/>
      <c r="H100" s="16"/>
      <c r="I100" s="16"/>
      <c r="J100" s="16"/>
      <c r="K100" s="16"/>
      <c r="L100" s="16"/>
      <c r="M100" s="16"/>
      <c r="N100" s="16"/>
      <c r="O100" s="16"/>
      <c r="P100" s="16"/>
      <c r="Q100" s="16"/>
      <c r="R100" s="16"/>
      <c r="S100" s="16"/>
      <c r="T100" s="16"/>
      <c r="U100" s="16"/>
    </row>
  </sheetData>
  <sheetProtection algorithmName="SHA-512" hashValue="2jI2ztYqK3EPeeQeJSR25CTf+W3dUDkFh5R79T3c/qFdBFwE2S7i89RZfjcVsISeYkzXVGkAU61+t5ukYB7Qrw==" saltValue="BPi4rYCid49JfpOAhFbctw==" spinCount="100000" sheet="1" objects="1" scenarios="1"/>
  <protectedRanges>
    <protectedRange algorithmName="SHA-512" hashValue="iLfvxzZsNiHa34W0FoQ6iTl4lrOWvuZ2Ix6zZaRXnQ7WKqanZbfV9o1mpfuMml2guqkuvLjZlJ02sl7tnbPxHg==" saltValue="sNnYEUywzX6hC2hjrE2RjA==" spinCount="100000" sqref="A1:XFD1048576" name="Plage1"/>
  </protectedRanges>
  <mergeCells count="8">
    <mergeCell ref="A46:A48"/>
    <mergeCell ref="A24:L24"/>
    <mergeCell ref="A32:A36"/>
    <mergeCell ref="A37:A40"/>
    <mergeCell ref="A42:A44"/>
    <mergeCell ref="A26:B26"/>
    <mergeCell ref="A30:A31"/>
    <mergeCell ref="A28:A29"/>
  </mergeCells>
  <phoneticPr fontId="3" type="noConversion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BB197"/>
  <sheetViews>
    <sheetView zoomScale="90" zoomScaleNormal="90" workbookViewId="0">
      <pane xSplit="2" topLeftCell="C1" activePane="topRight" state="frozen"/>
      <selection activeCell="J216" sqref="I216:J216"/>
      <selection pane="topRight" activeCell="C10" sqref="C10"/>
    </sheetView>
  </sheetViews>
  <sheetFormatPr baseColWidth="10" defaultRowHeight="31" customHeight="1" x14ac:dyDescent="0.3"/>
  <cols>
    <col min="1" max="1" width="48.296875" style="628" customWidth="1"/>
    <col min="2" max="2" width="35.19921875" style="628" customWidth="1"/>
    <col min="3" max="3" width="32.19921875" style="628" customWidth="1"/>
    <col min="4" max="4" width="17.296875" style="628" customWidth="1"/>
    <col min="5" max="5" width="18.296875" style="628" customWidth="1"/>
    <col min="6" max="6" width="22.296875" style="628" customWidth="1"/>
    <col min="7" max="8" width="19" style="628" customWidth="1"/>
    <col min="9" max="9" width="15.796875" style="628" customWidth="1"/>
    <col min="10" max="10" width="19.296875" style="628" customWidth="1"/>
    <col min="11" max="11" width="22.19921875" style="628" customWidth="1"/>
    <col min="12" max="12" width="23" style="628" customWidth="1"/>
    <col min="13" max="13" width="22.296875" style="628" customWidth="1"/>
    <col min="14" max="14" width="18.69921875" style="628" customWidth="1"/>
    <col min="15" max="15" width="24.19921875" style="628" customWidth="1"/>
    <col min="16" max="16" width="19" style="628" customWidth="1"/>
    <col min="17" max="17" width="18.19921875" style="628" customWidth="1"/>
    <col min="18" max="18" width="15.69921875" style="628" customWidth="1"/>
    <col min="19" max="20" width="16.796875" style="628" customWidth="1"/>
    <col min="21" max="21" width="15.69921875" style="628" customWidth="1"/>
    <col min="22" max="22" width="16.296875" style="628" customWidth="1"/>
    <col min="23" max="23" width="17.19921875" style="628" customWidth="1"/>
    <col min="24" max="24" width="17.796875" style="628" customWidth="1"/>
    <col min="25" max="25" width="12.19921875" style="628" bestFit="1" customWidth="1"/>
    <col min="26" max="26" width="17.296875" style="628" customWidth="1"/>
    <col min="27" max="29" width="12.19921875" style="628" bestFit="1" customWidth="1"/>
    <col min="30" max="30" width="16" style="628" customWidth="1"/>
    <col min="31" max="31" width="12" style="628"/>
    <col min="32" max="32" width="12.19921875" style="628" bestFit="1" customWidth="1"/>
    <col min="33" max="33" width="17.796875" style="628" customWidth="1"/>
    <col min="34" max="34" width="17.69921875" style="628" customWidth="1"/>
    <col min="35" max="35" width="12.19921875" style="628" bestFit="1" customWidth="1"/>
    <col min="36" max="36" width="14.296875" style="628" customWidth="1"/>
    <col min="37" max="37" width="28" style="628" customWidth="1"/>
    <col min="38" max="38" width="23" style="628" customWidth="1"/>
    <col min="39" max="39" width="16.796875" style="628" customWidth="1"/>
    <col min="40" max="41" width="12.19921875" style="628" bestFit="1" customWidth="1"/>
    <col min="42" max="44" width="17" style="628" customWidth="1"/>
    <col min="45" max="45" width="23.69921875" style="628" customWidth="1"/>
    <col min="46" max="47" width="14.19921875" style="628" customWidth="1"/>
    <col min="48" max="48" width="21" style="628" customWidth="1"/>
    <col min="49" max="50" width="14.19921875" style="628" customWidth="1"/>
    <col min="51" max="51" width="16.69921875" style="628" customWidth="1"/>
    <col min="52" max="52" width="20.19921875" style="628" customWidth="1"/>
    <col min="53" max="53" width="16.296875" style="628" customWidth="1"/>
    <col min="54" max="263" width="12" style="628"/>
    <col min="264" max="264" width="67.296875" style="628" customWidth="1"/>
    <col min="265" max="519" width="12" style="628"/>
    <col min="520" max="520" width="67.296875" style="628" customWidth="1"/>
    <col min="521" max="775" width="12" style="628"/>
    <col min="776" max="776" width="67.296875" style="628" customWidth="1"/>
    <col min="777" max="1031" width="12" style="628"/>
    <col min="1032" max="1032" width="67.296875" style="628" customWidth="1"/>
    <col min="1033" max="1287" width="12" style="628"/>
    <col min="1288" max="1288" width="67.296875" style="628" customWidth="1"/>
    <col min="1289" max="1543" width="12" style="628"/>
    <col min="1544" max="1544" width="67.296875" style="628" customWidth="1"/>
    <col min="1545" max="1799" width="12" style="628"/>
    <col min="1800" max="1800" width="67.296875" style="628" customWidth="1"/>
    <col min="1801" max="2055" width="12" style="628"/>
    <col min="2056" max="2056" width="67.296875" style="628" customWidth="1"/>
    <col min="2057" max="2311" width="12" style="628"/>
    <col min="2312" max="2312" width="67.296875" style="628" customWidth="1"/>
    <col min="2313" max="2567" width="12" style="628"/>
    <col min="2568" max="2568" width="67.296875" style="628" customWidth="1"/>
    <col min="2569" max="2823" width="12" style="628"/>
    <col min="2824" max="2824" width="67.296875" style="628" customWidth="1"/>
    <col min="2825" max="3079" width="12" style="628"/>
    <col min="3080" max="3080" width="67.296875" style="628" customWidth="1"/>
    <col min="3081" max="3335" width="12" style="628"/>
    <col min="3336" max="3336" width="67.296875" style="628" customWidth="1"/>
    <col min="3337" max="3591" width="12" style="628"/>
    <col min="3592" max="3592" width="67.296875" style="628" customWidth="1"/>
    <col min="3593" max="3847" width="12" style="628"/>
    <col min="3848" max="3848" width="67.296875" style="628" customWidth="1"/>
    <col min="3849" max="4103" width="12" style="628"/>
    <col min="4104" max="4104" width="67.296875" style="628" customWidth="1"/>
    <col min="4105" max="4359" width="12" style="628"/>
    <col min="4360" max="4360" width="67.296875" style="628" customWidth="1"/>
    <col min="4361" max="4615" width="12" style="628"/>
    <col min="4616" max="4616" width="67.296875" style="628" customWidth="1"/>
    <col min="4617" max="4871" width="12" style="628"/>
    <col min="4872" max="4872" width="67.296875" style="628" customWidth="1"/>
    <col min="4873" max="5127" width="12" style="628"/>
    <col min="5128" max="5128" width="67.296875" style="628" customWidth="1"/>
    <col min="5129" max="5383" width="12" style="628"/>
    <col min="5384" max="5384" width="67.296875" style="628" customWidth="1"/>
    <col min="5385" max="5639" width="12" style="628"/>
    <col min="5640" max="5640" width="67.296875" style="628" customWidth="1"/>
    <col min="5641" max="5895" width="12" style="628"/>
    <col min="5896" max="5896" width="67.296875" style="628" customWidth="1"/>
    <col min="5897" max="6151" width="12" style="628"/>
    <col min="6152" max="6152" width="67.296875" style="628" customWidth="1"/>
    <col min="6153" max="6407" width="12" style="628"/>
    <col min="6408" max="6408" width="67.296875" style="628" customWidth="1"/>
    <col min="6409" max="6663" width="12" style="628"/>
    <col min="6664" max="6664" width="67.296875" style="628" customWidth="1"/>
    <col min="6665" max="6919" width="12" style="628"/>
    <col min="6920" max="6920" width="67.296875" style="628" customWidth="1"/>
    <col min="6921" max="7175" width="12" style="628"/>
    <col min="7176" max="7176" width="67.296875" style="628" customWidth="1"/>
    <col min="7177" max="7431" width="12" style="628"/>
    <col min="7432" max="7432" width="67.296875" style="628" customWidth="1"/>
    <col min="7433" max="7687" width="12" style="628"/>
    <col min="7688" max="7688" width="67.296875" style="628" customWidth="1"/>
    <col min="7689" max="7943" width="12" style="628"/>
    <col min="7944" max="7944" width="67.296875" style="628" customWidth="1"/>
    <col min="7945" max="8199" width="12" style="628"/>
    <col min="8200" max="8200" width="67.296875" style="628" customWidth="1"/>
    <col min="8201" max="8455" width="12" style="628"/>
    <col min="8456" max="8456" width="67.296875" style="628" customWidth="1"/>
    <col min="8457" max="8711" width="12" style="628"/>
    <col min="8712" max="8712" width="67.296875" style="628" customWidth="1"/>
    <col min="8713" max="8967" width="12" style="628"/>
    <col min="8968" max="8968" width="67.296875" style="628" customWidth="1"/>
    <col min="8969" max="9223" width="12" style="628"/>
    <col min="9224" max="9224" width="67.296875" style="628" customWidth="1"/>
    <col min="9225" max="9479" width="12" style="628"/>
    <col min="9480" max="9480" width="67.296875" style="628" customWidth="1"/>
    <col min="9481" max="9735" width="12" style="628"/>
    <col min="9736" max="9736" width="67.296875" style="628" customWidth="1"/>
    <col min="9737" max="9991" width="12" style="628"/>
    <col min="9992" max="9992" width="67.296875" style="628" customWidth="1"/>
    <col min="9993" max="10247" width="12" style="628"/>
    <col min="10248" max="10248" width="67.296875" style="628" customWidth="1"/>
    <col min="10249" max="10503" width="12" style="628"/>
    <col min="10504" max="10504" width="67.296875" style="628" customWidth="1"/>
    <col min="10505" max="10759" width="12" style="628"/>
    <col min="10760" max="10760" width="67.296875" style="628" customWidth="1"/>
    <col min="10761" max="11015" width="12" style="628"/>
    <col min="11016" max="11016" width="67.296875" style="628" customWidth="1"/>
    <col min="11017" max="11271" width="12" style="628"/>
    <col min="11272" max="11272" width="67.296875" style="628" customWidth="1"/>
    <col min="11273" max="11527" width="12" style="628"/>
    <col min="11528" max="11528" width="67.296875" style="628" customWidth="1"/>
    <col min="11529" max="11783" width="12" style="628"/>
    <col min="11784" max="11784" width="67.296875" style="628" customWidth="1"/>
    <col min="11785" max="12039" width="12" style="628"/>
    <col min="12040" max="12040" width="67.296875" style="628" customWidth="1"/>
    <col min="12041" max="12295" width="12" style="628"/>
    <col min="12296" max="12296" width="67.296875" style="628" customWidth="1"/>
    <col min="12297" max="12551" width="12" style="628"/>
    <col min="12552" max="12552" width="67.296875" style="628" customWidth="1"/>
    <col min="12553" max="12807" width="12" style="628"/>
    <col min="12808" max="12808" width="67.296875" style="628" customWidth="1"/>
    <col min="12809" max="13063" width="12" style="628"/>
    <col min="13064" max="13064" width="67.296875" style="628" customWidth="1"/>
    <col min="13065" max="13319" width="12" style="628"/>
    <col min="13320" max="13320" width="67.296875" style="628" customWidth="1"/>
    <col min="13321" max="13575" width="12" style="628"/>
    <col min="13576" max="13576" width="67.296875" style="628" customWidth="1"/>
    <col min="13577" max="13831" width="12" style="628"/>
    <col min="13832" max="13832" width="67.296875" style="628" customWidth="1"/>
    <col min="13833" max="14087" width="12" style="628"/>
    <col min="14088" max="14088" width="67.296875" style="628" customWidth="1"/>
    <col min="14089" max="14343" width="12" style="628"/>
    <col min="14344" max="14344" width="67.296875" style="628" customWidth="1"/>
    <col min="14345" max="14599" width="12" style="628"/>
    <col min="14600" max="14600" width="67.296875" style="628" customWidth="1"/>
    <col min="14601" max="14855" width="12" style="628"/>
    <col min="14856" max="14856" width="67.296875" style="628" customWidth="1"/>
    <col min="14857" max="15111" width="12" style="628"/>
    <col min="15112" max="15112" width="67.296875" style="628" customWidth="1"/>
    <col min="15113" max="15367" width="12" style="628"/>
    <col min="15368" max="15368" width="67.296875" style="628" customWidth="1"/>
    <col min="15369" max="15623" width="12" style="628"/>
    <col min="15624" max="15624" width="67.296875" style="628" customWidth="1"/>
    <col min="15625" max="15879" width="12" style="628"/>
    <col min="15880" max="15880" width="67.296875" style="628" customWidth="1"/>
    <col min="15881" max="16135" width="12" style="628"/>
    <col min="16136" max="16136" width="67.296875" style="628" customWidth="1"/>
    <col min="16137" max="16383" width="12" style="628"/>
    <col min="16384" max="16384" width="12" style="628" customWidth="1"/>
  </cols>
  <sheetData>
    <row r="1" spans="1:54" s="626" customFormat="1" ht="31" customHeight="1" x14ac:dyDescent="0.3">
      <c r="A1" s="622" t="s">
        <v>507</v>
      </c>
    </row>
    <row r="2" spans="1:54" s="627" customFormat="1" ht="31" customHeight="1" x14ac:dyDescent="0.3">
      <c r="A2" s="688" t="s">
        <v>768</v>
      </c>
    </row>
    <row r="3" spans="1:54" ht="31" customHeight="1" x14ac:dyDescent="0.3">
      <c r="A3" s="725"/>
    </row>
    <row r="4" spans="1:54" ht="31" customHeight="1" x14ac:dyDescent="0.3">
      <c r="A4" s="724" t="s">
        <v>785</v>
      </c>
      <c r="B4" s="463" t="s">
        <v>668</v>
      </c>
      <c r="C4" s="463" t="s">
        <v>669</v>
      </c>
      <c r="D4" s="464" t="s">
        <v>594</v>
      </c>
      <c r="F4" s="394"/>
      <c r="G4" s="394"/>
      <c r="H4" s="394"/>
    </row>
    <row r="5" spans="1:54" ht="31" customHeight="1" x14ac:dyDescent="0.3">
      <c r="A5" s="718" t="s">
        <v>316</v>
      </c>
      <c r="B5" s="624">
        <f>E47/1000</f>
        <v>381.8417</v>
      </c>
      <c r="C5" s="624">
        <v>0</v>
      </c>
      <c r="D5" s="624">
        <f>B5*PRPCH4+C5*PRPN2O</f>
        <v>9546.0424999999996</v>
      </c>
      <c r="F5" s="118"/>
      <c r="G5" s="118"/>
      <c r="H5" s="118"/>
    </row>
    <row r="6" spans="1:54" ht="31" customHeight="1" x14ac:dyDescent="0.3">
      <c r="A6" s="719" t="s">
        <v>317</v>
      </c>
      <c r="B6" s="624">
        <f>E90/1000</f>
        <v>51.942430000000009</v>
      </c>
      <c r="C6" s="624">
        <f>O90/1000+T90/1000+Y90/1000</f>
        <v>7.1719347318142859</v>
      </c>
      <c r="D6" s="624">
        <f>B6*PRPCH4+C6*PRPN2O</f>
        <v>3435.7973000806578</v>
      </c>
      <c r="F6" s="118"/>
      <c r="G6" s="118"/>
      <c r="H6" s="118"/>
    </row>
    <row r="7" spans="1:54" ht="31" customHeight="1" x14ac:dyDescent="0.3">
      <c r="A7" s="719" t="s">
        <v>318</v>
      </c>
      <c r="B7" s="624">
        <f>SUM(B8:B9)</f>
        <v>0</v>
      </c>
      <c r="C7" s="624">
        <f>SUM(C8:C9)</f>
        <v>7.7372919642857152</v>
      </c>
      <c r="D7" s="624">
        <f>SUM(D8:D9)</f>
        <v>2305.7130053571427</v>
      </c>
      <c r="F7" s="118"/>
      <c r="G7" s="118"/>
      <c r="H7" s="118"/>
      <c r="AY7" s="629"/>
      <c r="AZ7" s="629"/>
      <c r="BA7" s="629"/>
      <c r="BB7" s="629"/>
    </row>
    <row r="8" spans="1:54" ht="31" customHeight="1" x14ac:dyDescent="0.3">
      <c r="A8" s="759" t="s">
        <v>890</v>
      </c>
      <c r="B8" s="513">
        <v>0</v>
      </c>
      <c r="C8" s="513">
        <f>(G143+F179)/1000</f>
        <v>6.5156142857142862</v>
      </c>
      <c r="D8" s="513">
        <f>B8*PRPCH4+C8*PRPN2O</f>
        <v>1941.6530571428573</v>
      </c>
      <c r="F8" s="118"/>
      <c r="G8" s="118"/>
      <c r="H8" s="118"/>
      <c r="AY8" s="630"/>
      <c r="AZ8" s="630"/>
      <c r="BA8" s="630"/>
      <c r="BB8" s="629"/>
    </row>
    <row r="9" spans="1:54" ht="31" customHeight="1" x14ac:dyDescent="0.3">
      <c r="A9" s="759" t="s">
        <v>88</v>
      </c>
      <c r="B9" s="513">
        <v>0</v>
      </c>
      <c r="C9" s="631">
        <f>(E186)/1000</f>
        <v>1.2216776785714285</v>
      </c>
      <c r="D9" s="513">
        <f>B9*PRPCH4+C9*PRPN2O</f>
        <v>364.05994821428567</v>
      </c>
      <c r="F9" s="118"/>
      <c r="G9" s="118"/>
      <c r="H9" s="118"/>
    </row>
    <row r="10" spans="1:54" ht="31" customHeight="1" x14ac:dyDescent="0.3">
      <c r="A10" s="632" t="s">
        <v>16</v>
      </c>
      <c r="B10" s="631">
        <f>SUM(B5:B7)</f>
        <v>433.78413</v>
      </c>
      <c r="C10" s="631">
        <f>SUM(C5:C7)</f>
        <v>14.909226696100001</v>
      </c>
      <c r="D10" s="633">
        <f>SUM(D5:D7)</f>
        <v>15287.552805437801</v>
      </c>
    </row>
    <row r="11" spans="1:54" ht="31" customHeight="1" x14ac:dyDescent="0.3">
      <c r="A11" s="634"/>
      <c r="B11" s="689"/>
      <c r="C11" s="689"/>
      <c r="D11" s="690"/>
    </row>
    <row r="12" spans="1:54" s="627" customFormat="1" ht="31" customHeight="1" x14ac:dyDescent="0.3">
      <c r="A12" s="722" t="s">
        <v>842</v>
      </c>
    </row>
    <row r="13" spans="1:54" ht="33" customHeight="1" x14ac:dyDescent="0.3"/>
    <row r="14" spans="1:54" ht="33" customHeight="1" x14ac:dyDescent="0.3">
      <c r="A14" s="919" t="s">
        <v>880</v>
      </c>
      <c r="B14" s="919"/>
      <c r="C14" s="919"/>
      <c r="D14" s="919"/>
      <c r="E14" s="919"/>
    </row>
    <row r="15" spans="1:54" ht="31" customHeight="1" x14ac:dyDescent="0.3">
      <c r="A15" s="918" t="s">
        <v>878</v>
      </c>
      <c r="B15" s="918"/>
      <c r="C15" s="918"/>
      <c r="D15" s="918"/>
      <c r="E15" s="918"/>
      <c r="F15" s="636"/>
    </row>
    <row r="16" spans="1:54" ht="31" customHeight="1" x14ac:dyDescent="0.3">
      <c r="A16" s="918" t="s">
        <v>879</v>
      </c>
      <c r="B16" s="918"/>
      <c r="C16" s="918"/>
      <c r="D16" s="918"/>
      <c r="E16" s="918"/>
    </row>
    <row r="17" spans="1:54" ht="69" customHeight="1" x14ac:dyDescent="0.3">
      <c r="A17" s="950" t="s">
        <v>778</v>
      </c>
      <c r="B17" s="931" t="s">
        <v>784</v>
      </c>
      <c r="C17" s="625" t="s">
        <v>790</v>
      </c>
      <c r="D17" s="639" t="s">
        <v>789</v>
      </c>
      <c r="E17" s="639" t="s">
        <v>791</v>
      </c>
    </row>
    <row r="18" spans="1:54" ht="31" customHeight="1" x14ac:dyDescent="0.3">
      <c r="A18" s="950"/>
      <c r="B18" s="932"/>
      <c r="C18" s="692" t="s">
        <v>779</v>
      </c>
      <c r="D18" s="678" t="s">
        <v>788</v>
      </c>
      <c r="E18" s="691" t="s">
        <v>770</v>
      </c>
      <c r="BB18" s="695"/>
    </row>
    <row r="19" spans="1:54" ht="20.149999999999999" customHeight="1" x14ac:dyDescent="0.3">
      <c r="A19" s="950" t="s">
        <v>261</v>
      </c>
      <c r="B19" s="637" t="s">
        <v>262</v>
      </c>
      <c r="C19" s="693">
        <v>1157</v>
      </c>
      <c r="D19" s="691">
        <v>43.8</v>
      </c>
      <c r="E19" s="701">
        <f t="shared" ref="E19:E31" si="0">D19*C19</f>
        <v>50676.6</v>
      </c>
    </row>
    <row r="20" spans="1:54" ht="20.149999999999999" customHeight="1" x14ac:dyDescent="0.3">
      <c r="A20" s="950"/>
      <c r="B20" s="637" t="s">
        <v>263</v>
      </c>
      <c r="C20" s="693">
        <v>14</v>
      </c>
      <c r="D20" s="691">
        <v>48.4</v>
      </c>
      <c r="E20" s="701">
        <f t="shared" si="0"/>
        <v>677.6</v>
      </c>
    </row>
    <row r="21" spans="1:54" ht="20.149999999999999" customHeight="1" x14ac:dyDescent="0.3">
      <c r="A21" s="950"/>
      <c r="B21" s="638" t="s">
        <v>264</v>
      </c>
      <c r="C21" s="693">
        <v>0</v>
      </c>
      <c r="D21" s="691">
        <v>53.6</v>
      </c>
      <c r="E21" s="701">
        <f t="shared" si="0"/>
        <v>0</v>
      </c>
    </row>
    <row r="22" spans="1:54" ht="20.149999999999999" customHeight="1" x14ac:dyDescent="0.3">
      <c r="A22" s="950"/>
      <c r="B22" s="638" t="s">
        <v>265</v>
      </c>
      <c r="C22" s="693">
        <v>0</v>
      </c>
      <c r="D22" s="691">
        <v>91.3</v>
      </c>
      <c r="E22" s="701">
        <f t="shared" si="0"/>
        <v>0</v>
      </c>
    </row>
    <row r="23" spans="1:54" ht="20.149999999999999" customHeight="1" x14ac:dyDescent="0.3">
      <c r="A23" s="950"/>
      <c r="B23" s="638" t="s">
        <v>309</v>
      </c>
      <c r="C23" s="693">
        <v>368</v>
      </c>
      <c r="D23" s="691">
        <v>76.7</v>
      </c>
      <c r="E23" s="701">
        <f t="shared" si="0"/>
        <v>28225.600000000002</v>
      </c>
    </row>
    <row r="24" spans="1:54" ht="20.149999999999999" customHeight="1" x14ac:dyDescent="0.3">
      <c r="A24" s="950"/>
      <c r="B24" s="637" t="s">
        <v>266</v>
      </c>
      <c r="C24" s="693">
        <v>1200</v>
      </c>
      <c r="D24" s="691">
        <v>120.8</v>
      </c>
      <c r="E24" s="701">
        <f t="shared" si="0"/>
        <v>144960</v>
      </c>
    </row>
    <row r="25" spans="1:54" ht="20.149999999999999" customHeight="1" x14ac:dyDescent="0.3">
      <c r="A25" s="950"/>
      <c r="B25" s="637" t="s">
        <v>267</v>
      </c>
      <c r="C25" s="693">
        <v>922</v>
      </c>
      <c r="D25" s="691">
        <v>138.1</v>
      </c>
      <c r="E25" s="701">
        <f t="shared" si="0"/>
        <v>127328.2</v>
      </c>
    </row>
    <row r="26" spans="1:54" ht="20.149999999999999" customHeight="1" x14ac:dyDescent="0.3">
      <c r="A26" s="950"/>
      <c r="B26" s="637" t="s">
        <v>268</v>
      </c>
      <c r="C26" s="693">
        <v>77</v>
      </c>
      <c r="D26" s="691">
        <v>130.1</v>
      </c>
      <c r="E26" s="701">
        <f t="shared" si="0"/>
        <v>10017.699999999999</v>
      </c>
    </row>
    <row r="27" spans="1:54" ht="20.149999999999999" customHeight="1" x14ac:dyDescent="0.3">
      <c r="A27" s="933" t="s">
        <v>269</v>
      </c>
      <c r="B27" s="637" t="s">
        <v>270</v>
      </c>
      <c r="C27" s="693">
        <v>0</v>
      </c>
      <c r="D27" s="691">
        <v>1.5</v>
      </c>
      <c r="E27" s="701">
        <f t="shared" si="0"/>
        <v>0</v>
      </c>
    </row>
    <row r="28" spans="1:54" ht="20.149999999999999" customHeight="1" x14ac:dyDescent="0.3">
      <c r="A28" s="934"/>
      <c r="B28" s="637" t="s">
        <v>271</v>
      </c>
      <c r="C28" s="693">
        <v>0</v>
      </c>
      <c r="D28" s="691">
        <v>1.5</v>
      </c>
      <c r="E28" s="701">
        <f t="shared" si="0"/>
        <v>0</v>
      </c>
    </row>
    <row r="29" spans="1:54" ht="20.149999999999999" customHeight="1" x14ac:dyDescent="0.3">
      <c r="A29" s="934"/>
      <c r="B29" s="637" t="s">
        <v>272</v>
      </c>
      <c r="C29" s="693">
        <v>0</v>
      </c>
      <c r="D29" s="691">
        <v>1.5</v>
      </c>
      <c r="E29" s="701">
        <f t="shared" si="0"/>
        <v>0</v>
      </c>
    </row>
    <row r="30" spans="1:54" ht="20.149999999999999" customHeight="1" x14ac:dyDescent="0.3">
      <c r="A30" s="934"/>
      <c r="B30" s="637" t="s">
        <v>273</v>
      </c>
      <c r="C30" s="693">
        <v>0</v>
      </c>
      <c r="D30" s="691">
        <v>1.5</v>
      </c>
      <c r="E30" s="701">
        <f t="shared" si="0"/>
        <v>0</v>
      </c>
    </row>
    <row r="31" spans="1:54" ht="20.149999999999999" customHeight="1" x14ac:dyDescent="0.3">
      <c r="A31" s="935"/>
      <c r="B31" s="637" t="s">
        <v>274</v>
      </c>
      <c r="C31" s="693">
        <v>0</v>
      </c>
      <c r="D31" s="691">
        <v>1.5</v>
      </c>
      <c r="E31" s="701">
        <f t="shared" si="0"/>
        <v>0</v>
      </c>
    </row>
    <row r="32" spans="1:54" ht="20.149999999999999" customHeight="1" x14ac:dyDescent="0.3">
      <c r="A32" s="933" t="s">
        <v>275</v>
      </c>
      <c r="B32" s="637" t="s">
        <v>276</v>
      </c>
      <c r="C32" s="693">
        <v>0</v>
      </c>
      <c r="D32" s="691" t="s">
        <v>125</v>
      </c>
      <c r="E32" s="701" t="s">
        <v>17</v>
      </c>
    </row>
    <row r="33" spans="1:5" ht="20.149999999999999" customHeight="1" x14ac:dyDescent="0.3">
      <c r="A33" s="934"/>
      <c r="B33" s="637" t="s">
        <v>277</v>
      </c>
      <c r="C33" s="693">
        <v>67</v>
      </c>
      <c r="D33" s="691" t="s">
        <v>125</v>
      </c>
      <c r="E33" s="701" t="s">
        <v>17</v>
      </c>
    </row>
    <row r="34" spans="1:5" ht="20.149999999999999" customHeight="1" x14ac:dyDescent="0.3">
      <c r="A34" s="934"/>
      <c r="B34" s="637" t="s">
        <v>278</v>
      </c>
      <c r="C34" s="693">
        <v>232</v>
      </c>
      <c r="D34" s="691" t="s">
        <v>125</v>
      </c>
      <c r="E34" s="701" t="s">
        <v>17</v>
      </c>
    </row>
    <row r="35" spans="1:5" ht="20.149999999999999" customHeight="1" x14ac:dyDescent="0.3">
      <c r="A35" s="934"/>
      <c r="B35" s="637" t="s">
        <v>279</v>
      </c>
      <c r="C35" s="693">
        <v>0</v>
      </c>
      <c r="D35" s="691" t="s">
        <v>125</v>
      </c>
      <c r="E35" s="701" t="s">
        <v>17</v>
      </c>
    </row>
    <row r="36" spans="1:5" ht="20.149999999999999" customHeight="1" x14ac:dyDescent="0.3">
      <c r="A36" s="935"/>
      <c r="B36" s="637" t="s">
        <v>280</v>
      </c>
      <c r="C36" s="693">
        <v>77</v>
      </c>
      <c r="D36" s="691" t="s">
        <v>125</v>
      </c>
      <c r="E36" s="701" t="s">
        <v>17</v>
      </c>
    </row>
    <row r="37" spans="1:5" ht="20.149999999999999" customHeight="1" x14ac:dyDescent="0.3">
      <c r="A37" s="930" t="s">
        <v>281</v>
      </c>
      <c r="B37" s="637" t="s">
        <v>282</v>
      </c>
      <c r="C37" s="693">
        <v>24</v>
      </c>
      <c r="D37" s="691">
        <v>8</v>
      </c>
      <c r="E37" s="701">
        <f t="shared" ref="E37:E46" si="1">D37*C37</f>
        <v>192</v>
      </c>
    </row>
    <row r="38" spans="1:5" ht="20.149999999999999" customHeight="1" x14ac:dyDescent="0.3">
      <c r="A38" s="930"/>
      <c r="B38" s="637" t="s">
        <v>283</v>
      </c>
      <c r="C38" s="693">
        <v>727</v>
      </c>
      <c r="D38" s="691">
        <v>8</v>
      </c>
      <c r="E38" s="701">
        <f t="shared" si="1"/>
        <v>5816</v>
      </c>
    </row>
    <row r="39" spans="1:5" ht="20.149999999999999" customHeight="1" x14ac:dyDescent="0.3">
      <c r="A39" s="930"/>
      <c r="B39" s="637" t="s">
        <v>284</v>
      </c>
      <c r="C39" s="693">
        <v>665</v>
      </c>
      <c r="D39" s="691">
        <v>8</v>
      </c>
      <c r="E39" s="701">
        <f t="shared" si="1"/>
        <v>5320</v>
      </c>
    </row>
    <row r="40" spans="1:5" ht="20.149999999999999" customHeight="1" x14ac:dyDescent="0.3">
      <c r="A40" s="933" t="s">
        <v>285</v>
      </c>
      <c r="B40" s="637" t="s">
        <v>286</v>
      </c>
      <c r="C40" s="693">
        <v>341</v>
      </c>
      <c r="D40" s="691">
        <v>18</v>
      </c>
      <c r="E40" s="701">
        <f t="shared" si="1"/>
        <v>6138</v>
      </c>
    </row>
    <row r="41" spans="1:5" ht="20.149999999999999" customHeight="1" x14ac:dyDescent="0.3">
      <c r="A41" s="934"/>
      <c r="B41" s="637" t="s">
        <v>292</v>
      </c>
      <c r="C41" s="693">
        <v>498</v>
      </c>
      <c r="D41" s="691">
        <v>5</v>
      </c>
      <c r="E41" s="701">
        <f t="shared" si="1"/>
        <v>2490</v>
      </c>
    </row>
    <row r="42" spans="1:5" ht="20.149999999999999" customHeight="1" x14ac:dyDescent="0.3">
      <c r="A42" s="934"/>
      <c r="B42" s="637" t="s">
        <v>287</v>
      </c>
      <c r="C42" s="693">
        <v>0</v>
      </c>
      <c r="D42" s="691">
        <v>1.5</v>
      </c>
      <c r="E42" s="701">
        <f t="shared" si="1"/>
        <v>0</v>
      </c>
    </row>
    <row r="43" spans="1:5" ht="20.149999999999999" customHeight="1" x14ac:dyDescent="0.3">
      <c r="A43" s="934"/>
      <c r="B43" s="637" t="s">
        <v>288</v>
      </c>
      <c r="C43" s="693">
        <v>0</v>
      </c>
      <c r="D43" s="691">
        <v>55</v>
      </c>
      <c r="E43" s="701">
        <f t="shared" si="1"/>
        <v>0</v>
      </c>
    </row>
    <row r="44" spans="1:5" ht="20.149999999999999" customHeight="1" x14ac:dyDescent="0.3">
      <c r="A44" s="934"/>
      <c r="B44" s="637" t="s">
        <v>289</v>
      </c>
      <c r="C44" s="693">
        <v>0</v>
      </c>
      <c r="D44" s="691">
        <v>8</v>
      </c>
      <c r="E44" s="701">
        <f t="shared" si="1"/>
        <v>0</v>
      </c>
    </row>
    <row r="45" spans="1:5" ht="20.149999999999999" customHeight="1" x14ac:dyDescent="0.3">
      <c r="A45" s="934"/>
      <c r="B45" s="637" t="s">
        <v>290</v>
      </c>
      <c r="C45" s="693">
        <v>0</v>
      </c>
      <c r="D45" s="691">
        <v>20</v>
      </c>
      <c r="E45" s="701">
        <f t="shared" si="1"/>
        <v>0</v>
      </c>
    </row>
    <row r="46" spans="1:5" ht="20.149999999999999" customHeight="1" x14ac:dyDescent="0.3">
      <c r="A46" s="935"/>
      <c r="B46" s="637" t="s">
        <v>291</v>
      </c>
      <c r="C46" s="693">
        <v>0</v>
      </c>
      <c r="D46" s="691">
        <v>20</v>
      </c>
      <c r="E46" s="701">
        <f t="shared" si="1"/>
        <v>0</v>
      </c>
    </row>
    <row r="47" spans="1:5" ht="31" customHeight="1" x14ac:dyDescent="0.3">
      <c r="B47" s="623" t="s">
        <v>50</v>
      </c>
      <c r="C47" s="692">
        <f>SUM(C19:C46)</f>
        <v>6369</v>
      </c>
      <c r="D47" s="639"/>
      <c r="E47" s="700">
        <f>SUM(E19:E26,E27:E31,E32:E36,E37:E39,E40:E46)</f>
        <v>381841.7</v>
      </c>
    </row>
    <row r="48" spans="1:5" ht="31" customHeight="1" x14ac:dyDescent="0.3">
      <c r="B48" s="728"/>
      <c r="C48" s="729"/>
      <c r="D48" s="730"/>
      <c r="E48" s="731"/>
    </row>
    <row r="49" spans="1:25" ht="31" customHeight="1" x14ac:dyDescent="0.3">
      <c r="B49" s="955" t="s">
        <v>792</v>
      </c>
      <c r="C49" s="955"/>
      <c r="D49" s="955"/>
      <c r="E49" s="955"/>
      <c r="F49" s="955"/>
      <c r="G49" s="955"/>
      <c r="H49" s="955"/>
      <c r="I49" s="955"/>
    </row>
    <row r="50" spans="1:25" ht="31" customHeight="1" x14ac:dyDescent="0.3">
      <c r="B50" s="638" t="s">
        <v>793</v>
      </c>
      <c r="C50" s="920" t="s">
        <v>798</v>
      </c>
      <c r="D50" s="920"/>
      <c r="E50" s="920"/>
      <c r="F50" s="920"/>
      <c r="G50" s="920"/>
      <c r="H50" s="920"/>
      <c r="I50" s="920"/>
    </row>
    <row r="51" spans="1:25" ht="31" customHeight="1" x14ac:dyDescent="0.3">
      <c r="B51" s="638" t="s">
        <v>820</v>
      </c>
      <c r="C51" s="920" t="s">
        <v>797</v>
      </c>
      <c r="D51" s="920"/>
      <c r="E51" s="920"/>
      <c r="F51" s="920"/>
      <c r="G51" s="920"/>
      <c r="H51" s="920"/>
      <c r="I51" s="920"/>
    </row>
    <row r="52" spans="1:25" ht="31" customHeight="1" x14ac:dyDescent="0.3">
      <c r="B52" s="629"/>
      <c r="C52" s="629"/>
      <c r="D52" s="629"/>
      <c r="E52" s="629"/>
      <c r="F52" s="629"/>
    </row>
    <row r="53" spans="1:25" s="627" customFormat="1" ht="31" customHeight="1" x14ac:dyDescent="0.3">
      <c r="A53" s="722" t="s">
        <v>782</v>
      </c>
    </row>
    <row r="54" spans="1:25" ht="31" customHeight="1" x14ac:dyDescent="0.3">
      <c r="A54" s="726"/>
    </row>
    <row r="55" spans="1:25" ht="26.15" customHeight="1" x14ac:dyDescent="0.3">
      <c r="D55" s="943" t="s">
        <v>786</v>
      </c>
      <c r="E55" s="944"/>
      <c r="F55" s="943" t="s">
        <v>805</v>
      </c>
      <c r="G55" s="959"/>
      <c r="H55" s="959"/>
      <c r="I55" s="959"/>
      <c r="J55" s="959"/>
      <c r="K55" s="959"/>
      <c r="L55" s="959"/>
      <c r="M55" s="959"/>
      <c r="N55" s="959"/>
      <c r="O55" s="944"/>
      <c r="P55" s="930" t="s">
        <v>821</v>
      </c>
      <c r="Q55" s="930"/>
      <c r="R55" s="930"/>
      <c r="S55" s="930"/>
      <c r="T55" s="930"/>
      <c r="U55" s="930" t="s">
        <v>833</v>
      </c>
      <c r="V55" s="930"/>
      <c r="W55" s="930"/>
      <c r="X55" s="930"/>
      <c r="Y55" s="930"/>
    </row>
    <row r="56" spans="1:25" ht="26.15" customHeight="1" x14ac:dyDescent="0.3">
      <c r="D56" s="945" t="s">
        <v>800</v>
      </c>
      <c r="E56" s="946"/>
      <c r="F56" s="920" t="s">
        <v>806</v>
      </c>
      <c r="G56" s="920"/>
      <c r="H56" s="920"/>
      <c r="I56" s="920"/>
      <c r="J56" s="920"/>
      <c r="K56" s="920"/>
      <c r="L56" s="920"/>
      <c r="M56" s="920"/>
      <c r="N56" s="920"/>
      <c r="O56" s="920"/>
      <c r="P56" s="942" t="s">
        <v>822</v>
      </c>
      <c r="Q56" s="942"/>
      <c r="R56" s="942"/>
      <c r="S56" s="942"/>
      <c r="T56" s="942"/>
      <c r="U56" s="942" t="s">
        <v>822</v>
      </c>
      <c r="V56" s="942"/>
      <c r="W56" s="942"/>
      <c r="X56" s="942"/>
      <c r="Y56" s="942"/>
    </row>
    <row r="57" spans="1:25" ht="30" customHeight="1" x14ac:dyDescent="0.3">
      <c r="D57" s="925" t="s">
        <v>799</v>
      </c>
      <c r="E57" s="927"/>
      <c r="F57" s="920" t="s">
        <v>804</v>
      </c>
      <c r="G57" s="920"/>
      <c r="H57" s="920"/>
      <c r="I57" s="920"/>
      <c r="J57" s="920"/>
      <c r="K57" s="920"/>
      <c r="L57" s="920"/>
      <c r="M57" s="920"/>
      <c r="N57" s="920"/>
      <c r="O57" s="920"/>
      <c r="P57" s="941" t="s">
        <v>831</v>
      </c>
      <c r="Q57" s="941"/>
      <c r="R57" s="941"/>
      <c r="S57" s="941"/>
      <c r="T57" s="941"/>
      <c r="U57" s="941" t="s">
        <v>834</v>
      </c>
      <c r="V57" s="941"/>
      <c r="W57" s="941"/>
      <c r="X57" s="941"/>
      <c r="Y57" s="941"/>
    </row>
    <row r="58" spans="1:25" ht="30" customHeight="1" x14ac:dyDescent="0.3">
      <c r="D58" s="941" t="s">
        <v>801</v>
      </c>
      <c r="E58" s="941" t="s">
        <v>802</v>
      </c>
      <c r="F58" s="937" t="s">
        <v>794</v>
      </c>
      <c r="G58" s="940" t="s">
        <v>814</v>
      </c>
      <c r="H58" s="940"/>
      <c r="I58" s="940"/>
      <c r="J58" s="940"/>
      <c r="K58" s="940"/>
      <c r="L58" s="940"/>
      <c r="M58" s="940"/>
      <c r="N58" s="940"/>
      <c r="O58" s="930" t="s">
        <v>787</v>
      </c>
      <c r="P58" s="941" t="s">
        <v>823</v>
      </c>
      <c r="Q58" s="941"/>
      <c r="R58" s="941"/>
      <c r="S58" s="941" t="s">
        <v>830</v>
      </c>
      <c r="T58" s="950" t="s">
        <v>787</v>
      </c>
      <c r="U58" s="941" t="s">
        <v>835</v>
      </c>
      <c r="V58" s="941"/>
      <c r="W58" s="941"/>
      <c r="X58" s="941" t="s">
        <v>837</v>
      </c>
      <c r="Y58" s="950" t="s">
        <v>787</v>
      </c>
    </row>
    <row r="59" spans="1:25" ht="52" customHeight="1" x14ac:dyDescent="0.3">
      <c r="D59" s="941"/>
      <c r="E59" s="941"/>
      <c r="F59" s="958"/>
      <c r="G59" s="956" t="s">
        <v>809</v>
      </c>
      <c r="H59" s="957"/>
      <c r="I59" s="956" t="s">
        <v>810</v>
      </c>
      <c r="J59" s="957"/>
      <c r="K59" s="960" t="s">
        <v>811</v>
      </c>
      <c r="L59" s="961"/>
      <c r="M59" s="960" t="s">
        <v>812</v>
      </c>
      <c r="N59" s="961"/>
      <c r="O59" s="930"/>
      <c r="P59" s="718" t="s">
        <v>825</v>
      </c>
      <c r="Q59" s="719" t="s">
        <v>826</v>
      </c>
      <c r="R59" s="719" t="s">
        <v>827</v>
      </c>
      <c r="S59" s="941"/>
      <c r="T59" s="950"/>
      <c r="U59" s="718" t="s">
        <v>825</v>
      </c>
      <c r="V59" s="719" t="s">
        <v>826</v>
      </c>
      <c r="W59" s="719" t="s">
        <v>827</v>
      </c>
      <c r="X59" s="941"/>
      <c r="Y59" s="950"/>
    </row>
    <row r="60" spans="1:25" ht="40" customHeight="1" x14ac:dyDescent="0.3">
      <c r="A60" s="930" t="s">
        <v>783</v>
      </c>
      <c r="B60" s="931" t="s">
        <v>784</v>
      </c>
      <c r="C60" s="687" t="s">
        <v>780</v>
      </c>
      <c r="D60" s="941"/>
      <c r="E60" s="941"/>
      <c r="F60" s="938"/>
      <c r="G60" s="678" t="s">
        <v>807</v>
      </c>
      <c r="H60" s="678" t="s">
        <v>813</v>
      </c>
      <c r="I60" s="678" t="s">
        <v>807</v>
      </c>
      <c r="J60" s="678" t="s">
        <v>813</v>
      </c>
      <c r="K60" s="678" t="s">
        <v>807</v>
      </c>
      <c r="L60" s="678" t="s">
        <v>813</v>
      </c>
      <c r="M60" s="678" t="s">
        <v>807</v>
      </c>
      <c r="N60" s="678" t="s">
        <v>813</v>
      </c>
      <c r="O60" s="930"/>
      <c r="P60" s="718" t="s">
        <v>824</v>
      </c>
      <c r="Q60" s="718" t="s">
        <v>824</v>
      </c>
      <c r="R60" s="718" t="s">
        <v>824</v>
      </c>
      <c r="S60" s="941"/>
      <c r="T60" s="950"/>
      <c r="U60" s="719" t="s">
        <v>836</v>
      </c>
      <c r="V60" s="719" t="s">
        <v>836</v>
      </c>
      <c r="W60" s="719" t="s">
        <v>836</v>
      </c>
      <c r="X60" s="941"/>
      <c r="Y60" s="950"/>
    </row>
    <row r="61" spans="1:25" ht="41.15" customHeight="1" x14ac:dyDescent="0.3">
      <c r="A61" s="930"/>
      <c r="B61" s="932"/>
      <c r="C61" s="692" t="s">
        <v>779</v>
      </c>
      <c r="D61" s="691" t="s">
        <v>769</v>
      </c>
      <c r="E61" s="691" t="s">
        <v>770</v>
      </c>
      <c r="F61" s="691" t="s">
        <v>771</v>
      </c>
      <c r="G61" s="691" t="s">
        <v>260</v>
      </c>
      <c r="H61" s="738" t="s">
        <v>815</v>
      </c>
      <c r="I61" s="691" t="s">
        <v>260</v>
      </c>
      <c r="J61" s="738" t="s">
        <v>815</v>
      </c>
      <c r="K61" s="691" t="s">
        <v>260</v>
      </c>
      <c r="L61" s="738" t="s">
        <v>815</v>
      </c>
      <c r="M61" s="691" t="s">
        <v>260</v>
      </c>
      <c r="N61" s="738" t="s">
        <v>815</v>
      </c>
      <c r="O61" s="639" t="s">
        <v>772</v>
      </c>
      <c r="P61" s="691" t="s">
        <v>260</v>
      </c>
      <c r="Q61" s="691" t="s">
        <v>260</v>
      </c>
      <c r="R61" s="691" t="s">
        <v>260</v>
      </c>
      <c r="S61" s="719" t="s">
        <v>832</v>
      </c>
      <c r="T61" s="720" t="s">
        <v>772</v>
      </c>
      <c r="U61" s="718" t="s">
        <v>260</v>
      </c>
      <c r="V61" s="718" t="s">
        <v>260</v>
      </c>
      <c r="W61" s="718" t="s">
        <v>260</v>
      </c>
      <c r="X61" s="719" t="s">
        <v>815</v>
      </c>
      <c r="Y61" s="720" t="s">
        <v>772</v>
      </c>
    </row>
    <row r="62" spans="1:25" ht="20.149999999999999" customHeight="1" x14ac:dyDescent="0.3">
      <c r="A62" s="930" t="s">
        <v>261</v>
      </c>
      <c r="B62" s="637" t="s">
        <v>262</v>
      </c>
      <c r="C62" s="693">
        <f>C19</f>
        <v>1157</v>
      </c>
      <c r="D62" s="691">
        <v>2.9</v>
      </c>
      <c r="E62" s="701">
        <f t="shared" ref="E62:E89" si="2">D62*C62</f>
        <v>3355.2999999999997</v>
      </c>
      <c r="F62" s="691">
        <v>26</v>
      </c>
      <c r="G62" s="739">
        <v>5.1999999999999998E-2</v>
      </c>
      <c r="H62" s="691">
        <v>1E-3</v>
      </c>
      <c r="I62" s="740">
        <v>0.45</v>
      </c>
      <c r="J62" s="691">
        <v>0.02</v>
      </c>
      <c r="K62" s="743">
        <v>0.46</v>
      </c>
      <c r="L62" s="691">
        <v>0.02</v>
      </c>
      <c r="M62" s="741">
        <v>4.2000000000000003E-2</v>
      </c>
      <c r="N62" s="691">
        <v>5.0000000000000001E-3</v>
      </c>
      <c r="O62" s="701">
        <f>C62*F62*(44/28)*((G62*H62)+(I62*J62)+(K62*L62)+(M62*N62))</f>
        <v>872.73038914285701</v>
      </c>
      <c r="P62" s="740">
        <v>0.4</v>
      </c>
      <c r="Q62" s="740">
        <v>0.3</v>
      </c>
      <c r="R62" s="740">
        <v>0.2</v>
      </c>
      <c r="S62" s="718">
        <v>0.01</v>
      </c>
      <c r="T62" s="734">
        <f>C62*F62*S62*(44/28)*((G62*P62)+(I62*Q62)+(R62*K62))</f>
        <v>117.13930800000001</v>
      </c>
      <c r="U62" s="740">
        <v>0</v>
      </c>
      <c r="V62" s="740">
        <v>0</v>
      </c>
      <c r="W62" s="740">
        <v>0</v>
      </c>
      <c r="X62" s="718">
        <v>7.4999999999999997E-3</v>
      </c>
      <c r="Y62" s="736">
        <f>C62*F62*X62*(44/28)*((G62*U62)+(I62*V62)+(K62*W62))</f>
        <v>0</v>
      </c>
    </row>
    <row r="63" spans="1:25" ht="20.149999999999999" customHeight="1" x14ac:dyDescent="0.3">
      <c r="A63" s="930"/>
      <c r="B63" s="637" t="s">
        <v>263</v>
      </c>
      <c r="C63" s="693">
        <f t="shared" ref="C63:C89" si="3">C20</f>
        <v>14</v>
      </c>
      <c r="D63" s="734">
        <v>2</v>
      </c>
      <c r="E63" s="701">
        <f t="shared" si="2"/>
        <v>28</v>
      </c>
      <c r="F63" s="691">
        <v>66</v>
      </c>
      <c r="G63" s="739">
        <v>5.1999999999999998E-2</v>
      </c>
      <c r="H63" s="691">
        <v>1E-3</v>
      </c>
      <c r="I63" s="740">
        <v>0.45</v>
      </c>
      <c r="J63" s="691">
        <v>0.02</v>
      </c>
      <c r="K63" s="743">
        <v>0.46</v>
      </c>
      <c r="L63" s="691">
        <v>0.02</v>
      </c>
      <c r="M63" s="741">
        <v>4.2000000000000003E-2</v>
      </c>
      <c r="N63" s="691">
        <v>5.0000000000000001E-3</v>
      </c>
      <c r="O63" s="701">
        <f t="shared" ref="O63:O89" si="4">C63*F63*(44/28)*((G63*H63)+(I63*J63)+(K63*L63)+(M63*N63))</f>
        <v>26.806823999999999</v>
      </c>
      <c r="P63" s="740">
        <v>0.4</v>
      </c>
      <c r="Q63" s="740">
        <v>0.3</v>
      </c>
      <c r="R63" s="740">
        <v>0.2</v>
      </c>
      <c r="S63" s="718">
        <v>0.01</v>
      </c>
      <c r="T63" s="734">
        <f t="shared" ref="T63:T89" si="5">C63*F63*S63*(44/28)*((G63*P63)+(I63*Q63)+(R63*K63))</f>
        <v>3.5980560000000001</v>
      </c>
      <c r="U63" s="740">
        <v>0</v>
      </c>
      <c r="V63" s="740">
        <v>0</v>
      </c>
      <c r="W63" s="740">
        <v>0</v>
      </c>
      <c r="X63" s="718">
        <v>7.4999999999999997E-3</v>
      </c>
      <c r="Y63" s="736">
        <f t="shared" ref="Y63:Y89" si="6">C63*F63*X63*(44/28)*((G63*U63)+(I63*V63)+(K63*W63))</f>
        <v>0</v>
      </c>
    </row>
    <row r="64" spans="1:25" ht="20.149999999999999" customHeight="1" x14ac:dyDescent="0.3">
      <c r="A64" s="930"/>
      <c r="B64" s="638" t="s">
        <v>264</v>
      </c>
      <c r="C64" s="693">
        <f t="shared" si="3"/>
        <v>0</v>
      </c>
      <c r="D64" s="691">
        <v>2.1</v>
      </c>
      <c r="E64" s="701">
        <f t="shared" si="2"/>
        <v>0</v>
      </c>
      <c r="F64" s="691">
        <v>57</v>
      </c>
      <c r="G64" s="739">
        <v>5.1999999999999998E-2</v>
      </c>
      <c r="H64" s="691">
        <v>1E-3</v>
      </c>
      <c r="I64" s="740">
        <v>0.45</v>
      </c>
      <c r="J64" s="691">
        <v>0.02</v>
      </c>
      <c r="K64" s="743">
        <v>0.46</v>
      </c>
      <c r="L64" s="691">
        <v>0.02</v>
      </c>
      <c r="M64" s="741">
        <v>4.2000000000000003E-2</v>
      </c>
      <c r="N64" s="691">
        <v>5.0000000000000001E-3</v>
      </c>
      <c r="O64" s="701">
        <f t="shared" si="4"/>
        <v>0</v>
      </c>
      <c r="P64" s="740">
        <v>0.4</v>
      </c>
      <c r="Q64" s="740">
        <v>0.3</v>
      </c>
      <c r="R64" s="740">
        <v>0.2</v>
      </c>
      <c r="S64" s="718">
        <v>0.01</v>
      </c>
      <c r="T64" s="734">
        <f>C64*F64*S64*(44/28)*((G64*P64)+(I64*Q64)+(R64*K64))</f>
        <v>0</v>
      </c>
      <c r="U64" s="740">
        <v>0</v>
      </c>
      <c r="V64" s="740">
        <v>0</v>
      </c>
      <c r="W64" s="740">
        <v>0</v>
      </c>
      <c r="X64" s="718">
        <v>7.4999999999999997E-3</v>
      </c>
      <c r="Y64" s="736">
        <f t="shared" si="6"/>
        <v>0</v>
      </c>
    </row>
    <row r="65" spans="1:25" ht="20.149999999999999" customHeight="1" x14ac:dyDescent="0.3">
      <c r="A65" s="930"/>
      <c r="B65" s="638" t="s">
        <v>265</v>
      </c>
      <c r="C65" s="693">
        <f t="shared" si="3"/>
        <v>0</v>
      </c>
      <c r="D65" s="691">
        <v>3.2</v>
      </c>
      <c r="E65" s="701">
        <f t="shared" si="2"/>
        <v>0</v>
      </c>
      <c r="F65" s="691">
        <v>65</v>
      </c>
      <c r="G65" s="739">
        <v>5.1999999999999998E-2</v>
      </c>
      <c r="H65" s="691">
        <v>1E-3</v>
      </c>
      <c r="I65" s="740">
        <v>0.45</v>
      </c>
      <c r="J65" s="691">
        <v>0.02</v>
      </c>
      <c r="K65" s="743">
        <v>0.46</v>
      </c>
      <c r="L65" s="691">
        <v>0.02</v>
      </c>
      <c r="M65" s="741">
        <v>4.2000000000000003E-2</v>
      </c>
      <c r="N65" s="691">
        <v>5.0000000000000001E-3</v>
      </c>
      <c r="O65" s="701">
        <f t="shared" si="4"/>
        <v>0</v>
      </c>
      <c r="P65" s="740">
        <v>0.4</v>
      </c>
      <c r="Q65" s="740">
        <v>0.3</v>
      </c>
      <c r="R65" s="740">
        <v>0.2</v>
      </c>
      <c r="S65" s="718">
        <v>0.01</v>
      </c>
      <c r="T65" s="734">
        <f t="shared" si="5"/>
        <v>0</v>
      </c>
      <c r="U65" s="740">
        <v>0</v>
      </c>
      <c r="V65" s="740">
        <v>0</v>
      </c>
      <c r="W65" s="740">
        <v>0</v>
      </c>
      <c r="X65" s="718">
        <v>7.4999999999999997E-3</v>
      </c>
      <c r="Y65" s="736">
        <f t="shared" si="6"/>
        <v>0</v>
      </c>
    </row>
    <row r="66" spans="1:25" ht="20.149999999999999" customHeight="1" x14ac:dyDescent="0.3">
      <c r="A66" s="930"/>
      <c r="B66" s="638" t="s">
        <v>309</v>
      </c>
      <c r="C66" s="693">
        <f t="shared" si="3"/>
        <v>368</v>
      </c>
      <c r="D66" s="691">
        <v>17</v>
      </c>
      <c r="E66" s="701">
        <f t="shared" si="2"/>
        <v>6256</v>
      </c>
      <c r="F66" s="691">
        <v>76</v>
      </c>
      <c r="G66" s="740">
        <v>0.64</v>
      </c>
      <c r="H66" s="691">
        <v>1E-3</v>
      </c>
      <c r="I66" s="740">
        <v>0.18</v>
      </c>
      <c r="J66" s="691">
        <v>0.02</v>
      </c>
      <c r="K66" s="743">
        <v>0.16</v>
      </c>
      <c r="L66" s="691">
        <v>0.02</v>
      </c>
      <c r="M66" s="741">
        <v>2.9000000000000001E-2</v>
      </c>
      <c r="N66" s="691">
        <v>5.0000000000000001E-3</v>
      </c>
      <c r="O66" s="701">
        <f>C66*F66*(44/28)*((G66*H66)+(I66*J66)+(K66*L66)+(M66*N66))</f>
        <v>333.35858285714284</v>
      </c>
      <c r="P66" s="740">
        <v>0.08</v>
      </c>
      <c r="Q66" s="740">
        <v>0.17</v>
      </c>
      <c r="R66" s="740">
        <v>0.24</v>
      </c>
      <c r="S66" s="718">
        <v>0.01</v>
      </c>
      <c r="T66" s="734">
        <f t="shared" si="5"/>
        <v>52.827556571428573</v>
      </c>
      <c r="U66" s="740">
        <v>0</v>
      </c>
      <c r="V66" s="740">
        <v>0.03</v>
      </c>
      <c r="W66" s="740">
        <v>0.05</v>
      </c>
      <c r="X66" s="718">
        <v>7.4999999999999997E-3</v>
      </c>
      <c r="Y66" s="736">
        <f t="shared" si="6"/>
        <v>4.4169462857142854</v>
      </c>
    </row>
    <row r="67" spans="1:25" ht="20.149999999999999" customHeight="1" x14ac:dyDescent="0.3">
      <c r="A67" s="930"/>
      <c r="B67" s="637" t="s">
        <v>266</v>
      </c>
      <c r="C67" s="693">
        <f t="shared" si="3"/>
        <v>1200</v>
      </c>
      <c r="D67" s="691">
        <v>4.5</v>
      </c>
      <c r="E67" s="701">
        <f t="shared" si="2"/>
        <v>5400</v>
      </c>
      <c r="F67" s="691">
        <v>75</v>
      </c>
      <c r="G67" s="739">
        <v>5.1999999999999998E-2</v>
      </c>
      <c r="H67" s="691">
        <v>1E-3</v>
      </c>
      <c r="I67" s="740">
        <v>0.45</v>
      </c>
      <c r="J67" s="691">
        <v>0.02</v>
      </c>
      <c r="K67" s="743">
        <v>0.46</v>
      </c>
      <c r="L67" s="691">
        <v>0.02</v>
      </c>
      <c r="M67" s="741">
        <v>4.2000000000000003E-2</v>
      </c>
      <c r="N67" s="691">
        <v>5.0000000000000001E-3</v>
      </c>
      <c r="O67" s="701">
        <f t="shared" si="4"/>
        <v>2611.0542857142855</v>
      </c>
      <c r="P67" s="740">
        <v>0.4</v>
      </c>
      <c r="Q67" s="740">
        <v>0.3</v>
      </c>
      <c r="R67" s="740">
        <v>0.2</v>
      </c>
      <c r="S67" s="718">
        <v>0.01</v>
      </c>
      <c r="T67" s="734">
        <f t="shared" si="5"/>
        <v>350.46000000000004</v>
      </c>
      <c r="U67" s="740">
        <v>0</v>
      </c>
      <c r="V67" s="740">
        <v>0</v>
      </c>
      <c r="W67" s="740">
        <v>0</v>
      </c>
      <c r="X67" s="718">
        <v>7.4999999999999997E-3</v>
      </c>
      <c r="Y67" s="736">
        <f t="shared" si="6"/>
        <v>0</v>
      </c>
    </row>
    <row r="68" spans="1:25" ht="20.149999999999999" customHeight="1" x14ac:dyDescent="0.3">
      <c r="A68" s="930"/>
      <c r="B68" s="637" t="s">
        <v>267</v>
      </c>
      <c r="C68" s="693">
        <f t="shared" si="3"/>
        <v>922</v>
      </c>
      <c r="D68" s="691">
        <v>38</v>
      </c>
      <c r="E68" s="701">
        <f t="shared" si="2"/>
        <v>35036</v>
      </c>
      <c r="F68" s="691">
        <v>121</v>
      </c>
      <c r="G68" s="740">
        <v>0.64</v>
      </c>
      <c r="H68" s="691">
        <v>1E-3</v>
      </c>
      <c r="I68" s="740">
        <v>0.18</v>
      </c>
      <c r="J68" s="691">
        <v>0.02</v>
      </c>
      <c r="K68" s="743">
        <v>0.16</v>
      </c>
      <c r="L68" s="691">
        <v>0.02</v>
      </c>
      <c r="M68" s="741">
        <v>2.9000000000000001E-2</v>
      </c>
      <c r="N68" s="691">
        <v>5.0000000000000001E-3</v>
      </c>
      <c r="O68" s="701">
        <f t="shared" si="4"/>
        <v>1329.7393528571431</v>
      </c>
      <c r="P68" s="740">
        <v>0.08</v>
      </c>
      <c r="Q68" s="740">
        <v>0.17</v>
      </c>
      <c r="R68" s="740">
        <v>0.24</v>
      </c>
      <c r="S68" s="718">
        <v>0.01</v>
      </c>
      <c r="T68" s="734">
        <f t="shared" si="5"/>
        <v>210.72468057142859</v>
      </c>
      <c r="U68" s="740">
        <v>0</v>
      </c>
      <c r="V68" s="740">
        <v>0.03</v>
      </c>
      <c r="W68" s="740">
        <v>0.05</v>
      </c>
      <c r="X68" s="718">
        <v>7.4999999999999997E-3</v>
      </c>
      <c r="Y68" s="736">
        <f t="shared" si="6"/>
        <v>17.618827285714282</v>
      </c>
    </row>
    <row r="69" spans="1:25" ht="20.149999999999999" customHeight="1" x14ac:dyDescent="0.3">
      <c r="A69" s="930"/>
      <c r="B69" s="637" t="s">
        <v>268</v>
      </c>
      <c r="C69" s="693">
        <f t="shared" si="3"/>
        <v>77</v>
      </c>
      <c r="D69" s="734">
        <v>5</v>
      </c>
      <c r="E69" s="701">
        <f t="shared" si="2"/>
        <v>385</v>
      </c>
      <c r="F69" s="691">
        <v>114</v>
      </c>
      <c r="G69" s="739">
        <v>5.1999999999999998E-2</v>
      </c>
      <c r="H69" s="691">
        <v>1E-3</v>
      </c>
      <c r="I69" s="740">
        <v>0.45</v>
      </c>
      <c r="J69" s="691">
        <v>0.02</v>
      </c>
      <c r="K69" s="743">
        <v>0.46</v>
      </c>
      <c r="L69" s="691">
        <v>0.02</v>
      </c>
      <c r="M69" s="741">
        <v>4.2000000000000003E-2</v>
      </c>
      <c r="N69" s="691">
        <v>5.0000000000000001E-3</v>
      </c>
      <c r="O69" s="701">
        <f t="shared" si="4"/>
        <v>254.664828</v>
      </c>
      <c r="P69" s="740">
        <v>0.4</v>
      </c>
      <c r="Q69" s="740">
        <v>0.3</v>
      </c>
      <c r="R69" s="740">
        <v>0.2</v>
      </c>
      <c r="S69" s="718">
        <v>0.01</v>
      </c>
      <c r="T69" s="734">
        <f t="shared" si="5"/>
        <v>34.181532000000004</v>
      </c>
      <c r="U69" s="740">
        <v>0</v>
      </c>
      <c r="V69" s="740">
        <v>0</v>
      </c>
      <c r="W69" s="740">
        <v>0</v>
      </c>
      <c r="X69" s="718">
        <v>7.4999999999999997E-3</v>
      </c>
      <c r="Y69" s="736">
        <f t="shared" si="6"/>
        <v>0</v>
      </c>
    </row>
    <row r="70" spans="1:25" ht="20.149999999999999" customHeight="1" x14ac:dyDescent="0.3">
      <c r="A70" s="933" t="s">
        <v>269</v>
      </c>
      <c r="B70" s="637" t="s">
        <v>270</v>
      </c>
      <c r="C70" s="693">
        <f t="shared" si="3"/>
        <v>0</v>
      </c>
      <c r="D70" s="734">
        <v>7</v>
      </c>
      <c r="E70" s="701">
        <f t="shared" si="2"/>
        <v>0</v>
      </c>
      <c r="F70" s="691">
        <v>17</v>
      </c>
      <c r="G70" s="739">
        <v>0.03</v>
      </c>
      <c r="H70" s="691">
        <v>1E-3</v>
      </c>
      <c r="I70" s="740">
        <v>0.03</v>
      </c>
      <c r="J70" s="691">
        <v>0.02</v>
      </c>
      <c r="K70" s="743">
        <v>0</v>
      </c>
      <c r="L70" s="691">
        <v>0.02</v>
      </c>
      <c r="M70" s="743">
        <v>0</v>
      </c>
      <c r="N70" s="691">
        <v>5.0000000000000001E-3</v>
      </c>
      <c r="O70" s="701">
        <f t="shared" si="4"/>
        <v>0</v>
      </c>
      <c r="P70" s="740">
        <v>0.4</v>
      </c>
      <c r="Q70" s="740">
        <v>0.3</v>
      </c>
      <c r="R70" s="740">
        <v>0</v>
      </c>
      <c r="S70" s="718">
        <v>0.01</v>
      </c>
      <c r="T70" s="734">
        <f t="shared" si="5"/>
        <v>0</v>
      </c>
      <c r="U70" s="740">
        <v>0</v>
      </c>
      <c r="V70" s="740">
        <v>0</v>
      </c>
      <c r="W70" s="740">
        <v>0</v>
      </c>
      <c r="X70" s="718">
        <v>7.4999999999999997E-3</v>
      </c>
      <c r="Y70" s="736">
        <f t="shared" si="6"/>
        <v>0</v>
      </c>
    </row>
    <row r="71" spans="1:25" ht="20.149999999999999" customHeight="1" x14ac:dyDescent="0.3">
      <c r="A71" s="934"/>
      <c r="B71" s="637" t="s">
        <v>271</v>
      </c>
      <c r="C71" s="693">
        <f>C28</f>
        <v>0</v>
      </c>
      <c r="D71" s="734">
        <v>7</v>
      </c>
      <c r="E71" s="701">
        <f t="shared" si="2"/>
        <v>0</v>
      </c>
      <c r="F71" s="718">
        <v>17</v>
      </c>
      <c r="G71" s="739">
        <v>0.03</v>
      </c>
      <c r="H71" s="691">
        <v>1E-3</v>
      </c>
      <c r="I71" s="740">
        <v>0.03</v>
      </c>
      <c r="J71" s="691">
        <v>0.02</v>
      </c>
      <c r="K71" s="743">
        <v>0</v>
      </c>
      <c r="L71" s="691">
        <v>0.02</v>
      </c>
      <c r="M71" s="743">
        <v>0</v>
      </c>
      <c r="N71" s="691">
        <v>5.0000000000000001E-3</v>
      </c>
      <c r="O71" s="701">
        <f t="shared" si="4"/>
        <v>0</v>
      </c>
      <c r="P71" s="740">
        <v>0.18</v>
      </c>
      <c r="Q71" s="740">
        <v>0.23</v>
      </c>
      <c r="R71" s="740">
        <v>0</v>
      </c>
      <c r="S71" s="718">
        <v>0.01</v>
      </c>
      <c r="T71" s="734">
        <f t="shared" si="5"/>
        <v>0</v>
      </c>
      <c r="U71" s="740">
        <v>0</v>
      </c>
      <c r="V71" s="740">
        <v>0</v>
      </c>
      <c r="W71" s="740">
        <v>0</v>
      </c>
      <c r="X71" s="718">
        <v>7.4999999999999997E-3</v>
      </c>
      <c r="Y71" s="736">
        <f t="shared" si="6"/>
        <v>0</v>
      </c>
    </row>
    <row r="72" spans="1:25" ht="20.149999999999999" customHeight="1" x14ac:dyDescent="0.3">
      <c r="A72" s="934"/>
      <c r="B72" s="637" t="s">
        <v>272</v>
      </c>
      <c r="C72" s="693">
        <f t="shared" si="3"/>
        <v>0</v>
      </c>
      <c r="D72" s="691">
        <v>2.1</v>
      </c>
      <c r="E72" s="701">
        <f t="shared" si="2"/>
        <v>0</v>
      </c>
      <c r="F72" s="718">
        <v>17</v>
      </c>
      <c r="G72" s="739">
        <v>0.03</v>
      </c>
      <c r="H72" s="691">
        <v>1E-3</v>
      </c>
      <c r="I72" s="740">
        <v>0.03</v>
      </c>
      <c r="J72" s="691">
        <v>0.02</v>
      </c>
      <c r="K72" s="743">
        <v>0</v>
      </c>
      <c r="L72" s="691">
        <v>0.02</v>
      </c>
      <c r="M72" s="743">
        <v>0</v>
      </c>
      <c r="N72" s="691">
        <v>5.0000000000000001E-3</v>
      </c>
      <c r="O72" s="701">
        <f t="shared" si="4"/>
        <v>0</v>
      </c>
      <c r="P72" s="740">
        <v>0.18</v>
      </c>
      <c r="Q72" s="740">
        <v>0.23</v>
      </c>
      <c r="R72" s="740">
        <v>0</v>
      </c>
      <c r="S72" s="718">
        <v>0.01</v>
      </c>
      <c r="T72" s="734">
        <f t="shared" si="5"/>
        <v>0</v>
      </c>
      <c r="U72" s="740">
        <v>0</v>
      </c>
      <c r="V72" s="740">
        <v>0</v>
      </c>
      <c r="W72" s="740">
        <v>0</v>
      </c>
      <c r="X72" s="718">
        <v>7.4999999999999997E-3</v>
      </c>
      <c r="Y72" s="736">
        <f t="shared" si="6"/>
        <v>0</v>
      </c>
    </row>
    <row r="73" spans="1:25" ht="20.149999999999999" customHeight="1" x14ac:dyDescent="0.3">
      <c r="A73" s="934"/>
      <c r="B73" s="637" t="s">
        <v>273</v>
      </c>
      <c r="C73" s="693">
        <f t="shared" si="3"/>
        <v>0</v>
      </c>
      <c r="D73" s="691">
        <v>4.2</v>
      </c>
      <c r="E73" s="701">
        <f t="shared" si="2"/>
        <v>0</v>
      </c>
      <c r="F73" s="718">
        <v>17</v>
      </c>
      <c r="G73" s="739">
        <v>0.03</v>
      </c>
      <c r="H73" s="691">
        <v>1E-3</v>
      </c>
      <c r="I73" s="740">
        <v>0.03</v>
      </c>
      <c r="J73" s="691">
        <v>0.02</v>
      </c>
      <c r="K73" s="743">
        <v>0</v>
      </c>
      <c r="L73" s="691">
        <v>0.02</v>
      </c>
      <c r="M73" s="743">
        <v>0</v>
      </c>
      <c r="N73" s="691">
        <v>5.0000000000000001E-3</v>
      </c>
      <c r="O73" s="701">
        <f t="shared" si="4"/>
        <v>0</v>
      </c>
      <c r="P73" s="740">
        <v>0.18</v>
      </c>
      <c r="Q73" s="740">
        <v>0.23</v>
      </c>
      <c r="R73" s="740">
        <v>0</v>
      </c>
      <c r="S73" s="718">
        <v>0.01</v>
      </c>
      <c r="T73" s="734">
        <f t="shared" si="5"/>
        <v>0</v>
      </c>
      <c r="U73" s="740">
        <v>0</v>
      </c>
      <c r="V73" s="740">
        <v>0</v>
      </c>
      <c r="W73" s="740">
        <v>0</v>
      </c>
      <c r="X73" s="718">
        <v>7.4999999999999997E-3</v>
      </c>
      <c r="Y73" s="736">
        <f t="shared" si="6"/>
        <v>0</v>
      </c>
    </row>
    <row r="74" spans="1:25" ht="20.149999999999999" customHeight="1" x14ac:dyDescent="0.3">
      <c r="A74" s="935"/>
      <c r="B74" s="637" t="s">
        <v>274</v>
      </c>
      <c r="C74" s="693">
        <f t="shared" si="3"/>
        <v>0</v>
      </c>
      <c r="D74" s="734">
        <v>9</v>
      </c>
      <c r="E74" s="701">
        <f t="shared" si="2"/>
        <v>0</v>
      </c>
      <c r="F74" s="718">
        <v>17</v>
      </c>
      <c r="G74" s="739">
        <v>0.03</v>
      </c>
      <c r="H74" s="691">
        <v>1E-3</v>
      </c>
      <c r="I74" s="740">
        <v>0.03</v>
      </c>
      <c r="J74" s="691">
        <v>0.02</v>
      </c>
      <c r="K74" s="743">
        <v>0</v>
      </c>
      <c r="L74" s="691">
        <v>0.02</v>
      </c>
      <c r="M74" s="743">
        <v>0</v>
      </c>
      <c r="N74" s="691">
        <v>5.0000000000000001E-3</v>
      </c>
      <c r="O74" s="701">
        <f t="shared" si="4"/>
        <v>0</v>
      </c>
      <c r="P74" s="740">
        <v>0.18</v>
      </c>
      <c r="Q74" s="740">
        <v>0.23</v>
      </c>
      <c r="R74" s="740">
        <v>0</v>
      </c>
      <c r="S74" s="718">
        <v>0.01</v>
      </c>
      <c r="T74" s="734">
        <f t="shared" si="5"/>
        <v>0</v>
      </c>
      <c r="U74" s="740">
        <v>0</v>
      </c>
      <c r="V74" s="740">
        <v>0</v>
      </c>
      <c r="W74" s="740">
        <v>0</v>
      </c>
      <c r="X74" s="718">
        <v>7.4999999999999997E-3</v>
      </c>
      <c r="Y74" s="736">
        <f t="shared" si="6"/>
        <v>0</v>
      </c>
    </row>
    <row r="75" spans="1:25" ht="20.149999999999999" customHeight="1" x14ac:dyDescent="0.3">
      <c r="A75" s="933" t="s">
        <v>275</v>
      </c>
      <c r="B75" s="637" t="s">
        <v>276</v>
      </c>
      <c r="C75" s="693">
        <f t="shared" si="3"/>
        <v>0</v>
      </c>
      <c r="D75" s="691">
        <v>0.03</v>
      </c>
      <c r="E75" s="701">
        <f t="shared" si="2"/>
        <v>0</v>
      </c>
      <c r="F75" s="691">
        <v>0.4</v>
      </c>
      <c r="G75" s="739">
        <v>7.0000000000000007E-2</v>
      </c>
      <c r="H75" s="691">
        <v>1E-3</v>
      </c>
      <c r="I75" s="740">
        <v>0.92</v>
      </c>
      <c r="J75" s="691">
        <v>0.02</v>
      </c>
      <c r="K75" s="742">
        <v>6.0000000000000001E-3</v>
      </c>
      <c r="L75" s="691">
        <v>0.02</v>
      </c>
      <c r="M75" s="741">
        <v>6.0000000000000001E-3</v>
      </c>
      <c r="N75" s="691">
        <v>5.0000000000000001E-3</v>
      </c>
      <c r="O75" s="701">
        <f t="shared" si="4"/>
        <v>0</v>
      </c>
      <c r="P75" s="740">
        <v>0.5</v>
      </c>
      <c r="Q75" s="740">
        <v>0.48</v>
      </c>
      <c r="R75" s="740">
        <v>0.2</v>
      </c>
      <c r="S75" s="718">
        <v>0.01</v>
      </c>
      <c r="T75" s="734">
        <f t="shared" si="5"/>
        <v>0</v>
      </c>
      <c r="U75" s="740">
        <v>0</v>
      </c>
      <c r="V75" s="740">
        <v>0</v>
      </c>
      <c r="W75" s="740">
        <v>0</v>
      </c>
      <c r="X75" s="718">
        <v>7.4999999999999997E-3</v>
      </c>
      <c r="Y75" s="736">
        <f t="shared" si="6"/>
        <v>0</v>
      </c>
    </row>
    <row r="76" spans="1:25" ht="20.149999999999999" customHeight="1" x14ac:dyDescent="0.3">
      <c r="A76" s="934"/>
      <c r="B76" s="637" t="s">
        <v>277</v>
      </c>
      <c r="C76" s="693">
        <f t="shared" si="3"/>
        <v>67</v>
      </c>
      <c r="D76" s="691">
        <v>0.12</v>
      </c>
      <c r="E76" s="701">
        <f t="shared" si="2"/>
        <v>8.0399999999999991</v>
      </c>
      <c r="F76" s="691">
        <v>0.5</v>
      </c>
      <c r="G76" s="739">
        <v>7.0000000000000007E-2</v>
      </c>
      <c r="H76" s="691">
        <v>1E-3</v>
      </c>
      <c r="I76" s="740">
        <v>0.92</v>
      </c>
      <c r="J76" s="691">
        <v>0.02</v>
      </c>
      <c r="K76" s="742">
        <v>6.0000000000000001E-3</v>
      </c>
      <c r="L76" s="691">
        <v>0.02</v>
      </c>
      <c r="M76" s="741">
        <v>6.0000000000000001E-3</v>
      </c>
      <c r="N76" s="691">
        <v>5.0000000000000001E-3</v>
      </c>
      <c r="O76" s="701">
        <f t="shared" si="4"/>
        <v>0.9802099999999998</v>
      </c>
      <c r="P76" s="740">
        <v>0.5</v>
      </c>
      <c r="Q76" s="740">
        <v>0.48</v>
      </c>
      <c r="R76" s="740">
        <v>0.2</v>
      </c>
      <c r="S76" s="718">
        <v>0.01</v>
      </c>
      <c r="T76" s="734">
        <f t="shared" si="5"/>
        <v>0.25152757142857146</v>
      </c>
      <c r="U76" s="740">
        <v>0</v>
      </c>
      <c r="V76" s="740">
        <v>0</v>
      </c>
      <c r="W76" s="740">
        <v>0</v>
      </c>
      <c r="X76" s="718">
        <v>7.4999999999999997E-3</v>
      </c>
      <c r="Y76" s="736">
        <f t="shared" si="6"/>
        <v>0</v>
      </c>
    </row>
    <row r="77" spans="1:25" ht="20.149999999999999" customHeight="1" x14ac:dyDescent="0.3">
      <c r="A77" s="934"/>
      <c r="B77" s="637" t="s">
        <v>278</v>
      </c>
      <c r="C77" s="693">
        <f t="shared" si="3"/>
        <v>232</v>
      </c>
      <c r="D77" s="691">
        <v>0.12</v>
      </c>
      <c r="E77" s="701">
        <f t="shared" si="2"/>
        <v>27.84</v>
      </c>
      <c r="F77" s="691">
        <v>0.5</v>
      </c>
      <c r="G77" s="739">
        <v>7.0000000000000007E-2</v>
      </c>
      <c r="H77" s="691">
        <v>1E-3</v>
      </c>
      <c r="I77" s="740">
        <v>0.92</v>
      </c>
      <c r="J77" s="691">
        <v>0.02</v>
      </c>
      <c r="K77" s="742">
        <v>6.0000000000000001E-3</v>
      </c>
      <c r="L77" s="691">
        <v>0.02</v>
      </c>
      <c r="M77" s="741">
        <v>6.0000000000000001E-3</v>
      </c>
      <c r="N77" s="691">
        <v>5.0000000000000001E-3</v>
      </c>
      <c r="O77" s="701">
        <f t="shared" si="4"/>
        <v>3.3941599999999994</v>
      </c>
      <c r="P77" s="740">
        <v>0.5</v>
      </c>
      <c r="Q77" s="740">
        <v>0.48</v>
      </c>
      <c r="R77" s="740">
        <v>0.2</v>
      </c>
      <c r="S77" s="718">
        <v>0.01</v>
      </c>
      <c r="T77" s="734">
        <f t="shared" si="5"/>
        <v>0.87096114285714277</v>
      </c>
      <c r="U77" s="740">
        <v>0</v>
      </c>
      <c r="V77" s="740">
        <v>0</v>
      </c>
      <c r="W77" s="740">
        <v>0</v>
      </c>
      <c r="X77" s="718">
        <v>7.4999999999999997E-3</v>
      </c>
      <c r="Y77" s="736">
        <f t="shared" si="6"/>
        <v>0</v>
      </c>
    </row>
    <row r="78" spans="1:25" ht="20.149999999999999" customHeight="1" x14ac:dyDescent="0.3">
      <c r="A78" s="934"/>
      <c r="B78" s="637" t="s">
        <v>279</v>
      </c>
      <c r="C78" s="693">
        <f t="shared" si="3"/>
        <v>0</v>
      </c>
      <c r="D78" s="736">
        <v>0.1</v>
      </c>
      <c r="E78" s="701">
        <f t="shared" si="2"/>
        <v>0</v>
      </c>
      <c r="F78" s="691">
        <v>1.8</v>
      </c>
      <c r="G78" s="739">
        <v>7.0000000000000007E-2</v>
      </c>
      <c r="H78" s="691">
        <v>1E-3</v>
      </c>
      <c r="I78" s="740">
        <v>0.92</v>
      </c>
      <c r="J78" s="691">
        <v>0.02</v>
      </c>
      <c r="K78" s="742">
        <v>6.0000000000000001E-3</v>
      </c>
      <c r="L78" s="691">
        <v>0.02</v>
      </c>
      <c r="M78" s="741">
        <v>6.0000000000000001E-3</v>
      </c>
      <c r="N78" s="691">
        <v>5.0000000000000001E-3</v>
      </c>
      <c r="O78" s="701">
        <f t="shared" si="4"/>
        <v>0</v>
      </c>
      <c r="P78" s="740">
        <v>0.5</v>
      </c>
      <c r="Q78" s="740">
        <v>0.48</v>
      </c>
      <c r="R78" s="740">
        <v>0.2</v>
      </c>
      <c r="S78" s="718">
        <v>0.01</v>
      </c>
      <c r="T78" s="734">
        <f t="shared" si="5"/>
        <v>0</v>
      </c>
      <c r="U78" s="740">
        <v>0</v>
      </c>
      <c r="V78" s="740">
        <v>0</v>
      </c>
      <c r="W78" s="740">
        <v>0</v>
      </c>
      <c r="X78" s="718">
        <v>7.4999999999999997E-3</v>
      </c>
      <c r="Y78" s="736">
        <f t="shared" si="6"/>
        <v>0</v>
      </c>
    </row>
    <row r="79" spans="1:25" ht="20.149999999999999" customHeight="1" x14ac:dyDescent="0.3">
      <c r="A79" s="935"/>
      <c r="B79" s="637" t="s">
        <v>280</v>
      </c>
      <c r="C79" s="693">
        <f t="shared" si="3"/>
        <v>77</v>
      </c>
      <c r="D79" s="691">
        <v>0.08</v>
      </c>
      <c r="E79" s="701">
        <f t="shared" si="2"/>
        <v>6.16</v>
      </c>
      <c r="F79" s="691">
        <v>1.1000000000000001</v>
      </c>
      <c r="G79" s="739">
        <v>7.0000000000000007E-2</v>
      </c>
      <c r="H79" s="691">
        <v>1E-3</v>
      </c>
      <c r="I79" s="740">
        <v>0.92</v>
      </c>
      <c r="J79" s="691">
        <v>0.02</v>
      </c>
      <c r="K79" s="742">
        <v>6.0000000000000001E-3</v>
      </c>
      <c r="L79" s="691">
        <v>0.02</v>
      </c>
      <c r="M79" s="741">
        <v>6.0000000000000001E-3</v>
      </c>
      <c r="N79" s="691">
        <v>5.0000000000000001E-3</v>
      </c>
      <c r="O79" s="701">
        <f t="shared" si="4"/>
        <v>2.4783219999999995</v>
      </c>
      <c r="P79" s="740">
        <v>0.5</v>
      </c>
      <c r="Q79" s="740">
        <v>0.48</v>
      </c>
      <c r="R79" s="740">
        <v>0.2</v>
      </c>
      <c r="S79" s="718">
        <v>0.01</v>
      </c>
      <c r="T79" s="734">
        <f t="shared" si="5"/>
        <v>0.63595180000000007</v>
      </c>
      <c r="U79" s="740">
        <v>0</v>
      </c>
      <c r="V79" s="740">
        <v>0</v>
      </c>
      <c r="W79" s="740">
        <v>0</v>
      </c>
      <c r="X79" s="718">
        <v>7.4999999999999997E-3</v>
      </c>
      <c r="Y79" s="736">
        <f t="shared" si="6"/>
        <v>0</v>
      </c>
    </row>
    <row r="80" spans="1:25" ht="20.149999999999999" customHeight="1" x14ac:dyDescent="0.3">
      <c r="A80" s="930" t="s">
        <v>281</v>
      </c>
      <c r="B80" s="637" t="s">
        <v>282</v>
      </c>
      <c r="C80" s="693">
        <f>C37</f>
        <v>24</v>
      </c>
      <c r="D80" s="691">
        <v>0.33</v>
      </c>
      <c r="E80" s="701">
        <f t="shared" si="2"/>
        <v>7.92</v>
      </c>
      <c r="F80" s="691">
        <v>4.0999999999999996</v>
      </c>
      <c r="G80" s="739">
        <v>1E-3</v>
      </c>
      <c r="H80" s="691">
        <v>1E-3</v>
      </c>
      <c r="I80" s="740">
        <v>0.34</v>
      </c>
      <c r="J80" s="691">
        <v>0.02</v>
      </c>
      <c r="K80" s="743">
        <v>0.65</v>
      </c>
      <c r="L80" s="691">
        <v>0.02</v>
      </c>
      <c r="M80" s="741">
        <v>2.0000000000000001E-4</v>
      </c>
      <c r="N80" s="691">
        <v>5.0000000000000001E-3</v>
      </c>
      <c r="O80" s="701">
        <f t="shared" si="4"/>
        <v>3.0619549714285714</v>
      </c>
      <c r="P80" s="740">
        <v>0</v>
      </c>
      <c r="Q80" s="740">
        <v>0.12</v>
      </c>
      <c r="R80" s="740">
        <v>0.2</v>
      </c>
      <c r="S80" s="718">
        <v>0.01</v>
      </c>
      <c r="T80" s="734">
        <f t="shared" si="5"/>
        <v>0.2641056</v>
      </c>
      <c r="U80" s="740">
        <v>0</v>
      </c>
      <c r="V80" s="740">
        <v>0</v>
      </c>
      <c r="W80" s="740">
        <v>0</v>
      </c>
      <c r="X80" s="718">
        <v>7.4999999999999997E-3</v>
      </c>
      <c r="Y80" s="736">
        <f t="shared" si="6"/>
        <v>0</v>
      </c>
    </row>
    <row r="81" spans="1:25" ht="20.149999999999999" customHeight="1" x14ac:dyDescent="0.3">
      <c r="A81" s="930"/>
      <c r="B81" s="637" t="s">
        <v>283</v>
      </c>
      <c r="C81" s="693">
        <f t="shared" si="3"/>
        <v>727</v>
      </c>
      <c r="D81" s="691">
        <v>0.33</v>
      </c>
      <c r="E81" s="701">
        <f t="shared" si="2"/>
        <v>239.91000000000003</v>
      </c>
      <c r="F81" s="691">
        <v>4.0999999999999996</v>
      </c>
      <c r="G81" s="739">
        <v>1E-3</v>
      </c>
      <c r="H81" s="691">
        <v>1E-3</v>
      </c>
      <c r="I81" s="740">
        <v>0.34</v>
      </c>
      <c r="J81" s="691">
        <v>0.02</v>
      </c>
      <c r="K81" s="743">
        <v>0.65</v>
      </c>
      <c r="L81" s="691">
        <v>0.02</v>
      </c>
      <c r="M81" s="741">
        <v>2.0000000000000001E-4</v>
      </c>
      <c r="N81" s="691">
        <v>5.0000000000000001E-3</v>
      </c>
      <c r="O81" s="701">
        <f t="shared" si="4"/>
        <v>92.751719342857157</v>
      </c>
      <c r="P81" s="740">
        <v>0</v>
      </c>
      <c r="Q81" s="740">
        <v>0.12</v>
      </c>
      <c r="R81" s="740">
        <v>0.2</v>
      </c>
      <c r="S81" s="718">
        <v>0.01</v>
      </c>
      <c r="T81" s="734">
        <f t="shared" si="5"/>
        <v>8.0001987999999997</v>
      </c>
      <c r="U81" s="740">
        <v>0</v>
      </c>
      <c r="V81" s="740">
        <v>0</v>
      </c>
      <c r="W81" s="740">
        <v>0</v>
      </c>
      <c r="X81" s="718">
        <v>7.4999999999999997E-3</v>
      </c>
      <c r="Y81" s="736">
        <f t="shared" si="6"/>
        <v>0</v>
      </c>
    </row>
    <row r="82" spans="1:25" ht="20.149999999999999" customHeight="1" x14ac:dyDescent="0.3">
      <c r="A82" s="930"/>
      <c r="B82" s="637" t="s">
        <v>284</v>
      </c>
      <c r="C82" s="693">
        <f t="shared" si="3"/>
        <v>665</v>
      </c>
      <c r="D82" s="691">
        <v>0.22</v>
      </c>
      <c r="E82" s="701">
        <f t="shared" si="2"/>
        <v>146.30000000000001</v>
      </c>
      <c r="F82" s="691">
        <v>4.0999999999999996</v>
      </c>
      <c r="G82" s="739">
        <v>1E-3</v>
      </c>
      <c r="H82" s="691">
        <v>1E-3</v>
      </c>
      <c r="I82" s="740">
        <v>0.34</v>
      </c>
      <c r="J82" s="691">
        <v>0.02</v>
      </c>
      <c r="K82" s="743">
        <v>0.65</v>
      </c>
      <c r="L82" s="691">
        <v>0.02</v>
      </c>
      <c r="M82" s="741">
        <v>2.0000000000000001E-4</v>
      </c>
      <c r="N82" s="691">
        <v>5.0000000000000001E-3</v>
      </c>
      <c r="O82" s="701">
        <f t="shared" si="4"/>
        <v>84.841668999999996</v>
      </c>
      <c r="P82" s="740">
        <v>0</v>
      </c>
      <c r="Q82" s="740">
        <v>0.12</v>
      </c>
      <c r="R82" s="740">
        <v>0.2</v>
      </c>
      <c r="S82" s="718">
        <v>0.01</v>
      </c>
      <c r="T82" s="734">
        <f t="shared" si="5"/>
        <v>7.317925999999999</v>
      </c>
      <c r="U82" s="740">
        <v>0</v>
      </c>
      <c r="V82" s="740">
        <v>0</v>
      </c>
      <c r="W82" s="740">
        <v>0</v>
      </c>
      <c r="X82" s="718">
        <v>7.4999999999999997E-3</v>
      </c>
      <c r="Y82" s="736">
        <f t="shared" si="6"/>
        <v>0</v>
      </c>
    </row>
    <row r="83" spans="1:25" ht="20.149999999999999" customHeight="1" x14ac:dyDescent="0.3">
      <c r="A83" s="933" t="s">
        <v>285</v>
      </c>
      <c r="B83" s="637" t="s">
        <v>286</v>
      </c>
      <c r="C83" s="693">
        <f t="shared" si="3"/>
        <v>341</v>
      </c>
      <c r="D83" s="691">
        <v>2.6</v>
      </c>
      <c r="E83" s="701">
        <f t="shared" si="2"/>
        <v>886.6</v>
      </c>
      <c r="F83" s="691">
        <v>49.3</v>
      </c>
      <c r="G83" s="739">
        <v>0</v>
      </c>
      <c r="H83" s="691">
        <v>1E-3</v>
      </c>
      <c r="I83" s="740">
        <v>0.31</v>
      </c>
      <c r="J83" s="691">
        <v>0.02</v>
      </c>
      <c r="K83" s="743">
        <v>0.68</v>
      </c>
      <c r="L83" s="691">
        <v>0.02</v>
      </c>
      <c r="M83" s="741">
        <v>7.0000000000000001E-3</v>
      </c>
      <c r="N83" s="691">
        <v>5.0000000000000001E-3</v>
      </c>
      <c r="O83" s="701">
        <f t="shared" si="4"/>
        <v>523.99621292857148</v>
      </c>
      <c r="P83" s="740">
        <v>0</v>
      </c>
      <c r="Q83" s="740">
        <v>0.12</v>
      </c>
      <c r="R83" s="740">
        <v>0.2</v>
      </c>
      <c r="S83" s="718">
        <v>0.01</v>
      </c>
      <c r="T83" s="734">
        <f t="shared" si="5"/>
        <v>45.755555371428571</v>
      </c>
      <c r="U83" s="740">
        <v>0</v>
      </c>
      <c r="V83" s="740">
        <v>0</v>
      </c>
      <c r="W83" s="740">
        <v>0</v>
      </c>
      <c r="X83" s="718">
        <v>7.4999999999999997E-3</v>
      </c>
      <c r="Y83" s="736">
        <f t="shared" si="6"/>
        <v>0</v>
      </c>
    </row>
    <row r="84" spans="1:25" ht="20.149999999999999" customHeight="1" x14ac:dyDescent="0.3">
      <c r="A84" s="934"/>
      <c r="B84" s="637" t="s">
        <v>292</v>
      </c>
      <c r="C84" s="693">
        <f t="shared" si="3"/>
        <v>498</v>
      </c>
      <c r="D84" s="691">
        <v>0.32</v>
      </c>
      <c r="E84" s="701">
        <f t="shared" si="2"/>
        <v>159.36000000000001</v>
      </c>
      <c r="F84" s="691">
        <v>10.5</v>
      </c>
      <c r="G84" s="739">
        <v>0</v>
      </c>
      <c r="H84" s="691">
        <v>1E-3</v>
      </c>
      <c r="I84" s="740">
        <v>0.42</v>
      </c>
      <c r="J84" s="691">
        <v>0.02</v>
      </c>
      <c r="K84" s="743">
        <v>0.57999999999999996</v>
      </c>
      <c r="L84" s="691">
        <v>0.02</v>
      </c>
      <c r="M84" s="741">
        <v>0</v>
      </c>
      <c r="N84" s="691">
        <v>5.0000000000000001E-3</v>
      </c>
      <c r="O84" s="701">
        <f t="shared" si="4"/>
        <v>164.33999999999997</v>
      </c>
      <c r="P84" s="740">
        <v>0</v>
      </c>
      <c r="Q84" s="740">
        <v>0.12</v>
      </c>
      <c r="R84" s="740">
        <v>0.2</v>
      </c>
      <c r="S84" s="718">
        <v>0.01</v>
      </c>
      <c r="T84" s="734">
        <f t="shared" si="5"/>
        <v>13.673088</v>
      </c>
      <c r="U84" s="740">
        <v>0</v>
      </c>
      <c r="V84" s="740">
        <v>0</v>
      </c>
      <c r="W84" s="740">
        <v>0</v>
      </c>
      <c r="X84" s="718">
        <v>7.4999999999999997E-3</v>
      </c>
      <c r="Y84" s="736">
        <f t="shared" si="6"/>
        <v>0</v>
      </c>
    </row>
    <row r="85" spans="1:25" ht="20.149999999999999" customHeight="1" x14ac:dyDescent="0.3">
      <c r="A85" s="934"/>
      <c r="B85" s="637" t="s">
        <v>287</v>
      </c>
      <c r="C85" s="693">
        <f t="shared" si="3"/>
        <v>0</v>
      </c>
      <c r="D85" s="691">
        <v>0.56000000000000005</v>
      </c>
      <c r="E85" s="701">
        <f t="shared" si="2"/>
        <v>0</v>
      </c>
      <c r="F85" s="691">
        <v>11.1</v>
      </c>
      <c r="G85" s="739">
        <v>0</v>
      </c>
      <c r="H85" s="691">
        <v>1E-3</v>
      </c>
      <c r="I85" s="740">
        <v>1</v>
      </c>
      <c r="J85" s="691">
        <v>0.02</v>
      </c>
      <c r="K85" s="743">
        <v>0</v>
      </c>
      <c r="L85" s="691">
        <v>0.02</v>
      </c>
      <c r="M85" s="741">
        <v>0</v>
      </c>
      <c r="N85" s="691">
        <v>5.0000000000000001E-3</v>
      </c>
      <c r="O85" s="701">
        <f t="shared" si="4"/>
        <v>0</v>
      </c>
      <c r="P85" s="740">
        <v>0</v>
      </c>
      <c r="Q85" s="740">
        <v>0.12</v>
      </c>
      <c r="R85" s="740">
        <v>0</v>
      </c>
      <c r="S85" s="718">
        <v>0.01</v>
      </c>
      <c r="T85" s="734">
        <f t="shared" si="5"/>
        <v>0</v>
      </c>
      <c r="U85" s="740">
        <v>0</v>
      </c>
      <c r="V85" s="740">
        <v>0</v>
      </c>
      <c r="W85" s="740">
        <v>0</v>
      </c>
      <c r="X85" s="718">
        <v>7.4999999999999997E-3</v>
      </c>
      <c r="Y85" s="736">
        <f t="shared" si="6"/>
        <v>0</v>
      </c>
    </row>
    <row r="86" spans="1:25" ht="20.149999999999999" customHeight="1" x14ac:dyDescent="0.3">
      <c r="A86" s="934"/>
      <c r="B86" s="637" t="s">
        <v>288</v>
      </c>
      <c r="C86" s="693">
        <f t="shared" si="3"/>
        <v>0</v>
      </c>
      <c r="D86" s="691">
        <v>2.1</v>
      </c>
      <c r="E86" s="701">
        <f t="shared" si="2"/>
        <v>0</v>
      </c>
      <c r="F86" s="691">
        <v>67.599999999999994</v>
      </c>
      <c r="G86" s="739">
        <v>2E-3</v>
      </c>
      <c r="H86" s="691">
        <v>1E-3</v>
      </c>
      <c r="I86" s="740">
        <v>0.42</v>
      </c>
      <c r="J86" s="691">
        <v>0.02</v>
      </c>
      <c r="K86" s="743">
        <v>0.42</v>
      </c>
      <c r="L86" s="691">
        <v>0.02</v>
      </c>
      <c r="M86" s="741">
        <v>0.04</v>
      </c>
      <c r="N86" s="691">
        <v>5.0000000000000001E-3</v>
      </c>
      <c r="O86" s="701">
        <f t="shared" si="4"/>
        <v>0</v>
      </c>
      <c r="P86" s="740">
        <v>0</v>
      </c>
      <c r="Q86" s="740">
        <v>0.12</v>
      </c>
      <c r="R86" s="740">
        <v>0</v>
      </c>
      <c r="S86" s="718">
        <v>0.01</v>
      </c>
      <c r="T86" s="734">
        <f t="shared" si="5"/>
        <v>0</v>
      </c>
      <c r="U86" s="740">
        <v>0</v>
      </c>
      <c r="V86" s="740">
        <v>0</v>
      </c>
      <c r="W86" s="740">
        <v>0</v>
      </c>
      <c r="X86" s="718">
        <v>7.4999999999999997E-3</v>
      </c>
      <c r="Y86" s="736">
        <f t="shared" si="6"/>
        <v>0</v>
      </c>
    </row>
    <row r="87" spans="1:25" ht="20.149999999999999" customHeight="1" x14ac:dyDescent="0.3">
      <c r="A87" s="934"/>
      <c r="B87" s="637" t="s">
        <v>289</v>
      </c>
      <c r="C87" s="693">
        <f>C44</f>
        <v>0</v>
      </c>
      <c r="D87" s="691">
        <v>2.2999999999999998</v>
      </c>
      <c r="E87" s="701">
        <f t="shared" si="2"/>
        <v>0</v>
      </c>
      <c r="F87" s="691">
        <v>17.2</v>
      </c>
      <c r="G87" s="739">
        <v>2.9999999999999997E-4</v>
      </c>
      <c r="H87" s="691">
        <v>1E-3</v>
      </c>
      <c r="I87" s="740">
        <v>0.28000000000000003</v>
      </c>
      <c r="J87" s="691">
        <v>0.02</v>
      </c>
      <c r="K87" s="743">
        <v>0.72</v>
      </c>
      <c r="L87" s="691">
        <v>0.02</v>
      </c>
      <c r="M87" s="741">
        <v>2.0000000000000001E-4</v>
      </c>
      <c r="N87" s="691">
        <v>5.0000000000000001E-3</v>
      </c>
      <c r="O87" s="701">
        <f t="shared" si="4"/>
        <v>0</v>
      </c>
      <c r="P87" s="740">
        <v>0</v>
      </c>
      <c r="Q87" s="740">
        <v>0.12</v>
      </c>
      <c r="R87" s="740">
        <v>0.2</v>
      </c>
      <c r="S87" s="718">
        <v>0.01</v>
      </c>
      <c r="T87" s="734">
        <f t="shared" si="5"/>
        <v>0</v>
      </c>
      <c r="U87" s="740">
        <v>0</v>
      </c>
      <c r="V87" s="740">
        <v>0</v>
      </c>
      <c r="W87" s="740">
        <v>0</v>
      </c>
      <c r="X87" s="718">
        <v>7.4999999999999997E-3</v>
      </c>
      <c r="Y87" s="736">
        <f t="shared" si="6"/>
        <v>0</v>
      </c>
    </row>
    <row r="88" spans="1:25" ht="20.149999999999999" customHeight="1" x14ac:dyDescent="0.3">
      <c r="A88" s="934"/>
      <c r="B88" s="637" t="s">
        <v>290</v>
      </c>
      <c r="C88" s="693">
        <f t="shared" si="3"/>
        <v>0</v>
      </c>
      <c r="D88" s="691">
        <v>0.22</v>
      </c>
      <c r="E88" s="701">
        <f t="shared" si="2"/>
        <v>0</v>
      </c>
      <c r="F88" s="691">
        <v>13.6</v>
      </c>
      <c r="G88" s="739">
        <v>0</v>
      </c>
      <c r="H88" s="691">
        <v>1E-3</v>
      </c>
      <c r="I88" s="740">
        <v>0.47</v>
      </c>
      <c r="J88" s="691">
        <v>0.02</v>
      </c>
      <c r="K88" s="743">
        <v>0.5</v>
      </c>
      <c r="L88" s="691">
        <v>0.02</v>
      </c>
      <c r="M88" s="741">
        <v>3.5000000000000003E-2</v>
      </c>
      <c r="N88" s="691">
        <v>5.0000000000000001E-3</v>
      </c>
      <c r="O88" s="701">
        <f t="shared" si="4"/>
        <v>0</v>
      </c>
      <c r="P88" s="740">
        <v>0</v>
      </c>
      <c r="Q88" s="740">
        <v>0.12</v>
      </c>
      <c r="R88" s="740">
        <v>0</v>
      </c>
      <c r="S88" s="718">
        <v>0.01</v>
      </c>
      <c r="T88" s="734">
        <f t="shared" si="5"/>
        <v>0</v>
      </c>
      <c r="U88" s="740">
        <v>0</v>
      </c>
      <c r="V88" s="740">
        <v>0</v>
      </c>
      <c r="W88" s="740">
        <v>0</v>
      </c>
      <c r="X88" s="718">
        <v>7.4999999999999997E-3</v>
      </c>
      <c r="Y88" s="736">
        <f t="shared" si="6"/>
        <v>0</v>
      </c>
    </row>
    <row r="89" spans="1:25" ht="20.149999999999999" customHeight="1" x14ac:dyDescent="0.3">
      <c r="A89" s="935"/>
      <c r="B89" s="637" t="s">
        <v>291</v>
      </c>
      <c r="C89" s="693">
        <f t="shared" si="3"/>
        <v>0</v>
      </c>
      <c r="D89" s="691">
        <v>0.22</v>
      </c>
      <c r="E89" s="701">
        <f t="shared" si="2"/>
        <v>0</v>
      </c>
      <c r="F89" s="691">
        <v>13.6</v>
      </c>
      <c r="G89" s="739">
        <v>0</v>
      </c>
      <c r="H89" s="691">
        <v>1E-3</v>
      </c>
      <c r="I89" s="740">
        <v>0.47</v>
      </c>
      <c r="J89" s="691">
        <v>0.02</v>
      </c>
      <c r="K89" s="743">
        <v>0.5</v>
      </c>
      <c r="L89" s="691">
        <v>0.02</v>
      </c>
      <c r="M89" s="741">
        <v>3.5000000000000003E-2</v>
      </c>
      <c r="N89" s="691">
        <v>5.0000000000000001E-3</v>
      </c>
      <c r="O89" s="701">
        <f t="shared" si="4"/>
        <v>0</v>
      </c>
      <c r="P89" s="740">
        <v>0</v>
      </c>
      <c r="Q89" s="740">
        <v>0.12</v>
      </c>
      <c r="R89" s="740">
        <v>0</v>
      </c>
      <c r="S89" s="718">
        <v>0.01</v>
      </c>
      <c r="T89" s="734">
        <f t="shared" si="5"/>
        <v>0</v>
      </c>
      <c r="U89" s="740">
        <v>0</v>
      </c>
      <c r="V89" s="740">
        <v>0</v>
      </c>
      <c r="W89" s="740">
        <v>0</v>
      </c>
      <c r="X89" s="718">
        <v>7.4999999999999997E-3</v>
      </c>
      <c r="Y89" s="736">
        <f t="shared" si="6"/>
        <v>0</v>
      </c>
    </row>
    <row r="90" spans="1:25" ht="31" customHeight="1" x14ac:dyDescent="0.3">
      <c r="A90" s="640"/>
      <c r="B90" s="640"/>
      <c r="D90" s="735" t="s">
        <v>16</v>
      </c>
      <c r="E90" s="747">
        <f>SUM(E62:E69,E70:E74,E75:E79,E80:E82,E83:E89)</f>
        <v>51942.430000000008</v>
      </c>
      <c r="F90" s="947" t="s">
        <v>16</v>
      </c>
      <c r="G90" s="948"/>
      <c r="H90" s="948"/>
      <c r="I90" s="948"/>
      <c r="J90" s="948"/>
      <c r="K90" s="948"/>
      <c r="L90" s="948"/>
      <c r="M90" s="948"/>
      <c r="N90" s="949"/>
      <c r="O90" s="747">
        <f>SUM(O62:O69,O70:O74,O75:O79,O80:O82,O83:O89)</f>
        <v>6304.1985108142853</v>
      </c>
      <c r="P90" s="941" t="s">
        <v>16</v>
      </c>
      <c r="Q90" s="941"/>
      <c r="R90" s="941"/>
      <c r="S90" s="941"/>
      <c r="T90" s="746">
        <f>SUM(T62:T89)</f>
        <v>845.70044742857169</v>
      </c>
      <c r="U90" s="941" t="s">
        <v>16</v>
      </c>
      <c r="V90" s="941"/>
      <c r="W90" s="941"/>
      <c r="X90" s="941"/>
      <c r="Y90" s="746">
        <f>SUM(Y62:Y89)</f>
        <v>22.035773571428567</v>
      </c>
    </row>
    <row r="91" spans="1:25" ht="31" customHeight="1" x14ac:dyDescent="0.3">
      <c r="A91" s="640"/>
      <c r="B91" s="640"/>
      <c r="D91" s="732"/>
      <c r="E91" s="732"/>
      <c r="F91" s="732"/>
      <c r="G91" s="731"/>
      <c r="H91" s="732"/>
      <c r="I91" s="732"/>
      <c r="J91" s="732"/>
      <c r="K91" s="732"/>
      <c r="L91" s="732"/>
      <c r="M91" s="732"/>
      <c r="N91" s="732"/>
      <c r="O91" s="732"/>
      <c r="P91" s="732"/>
      <c r="Q91" s="732"/>
      <c r="R91" s="732"/>
      <c r="S91" s="731"/>
    </row>
    <row r="92" spans="1:25" ht="31" customHeight="1" x14ac:dyDescent="0.3">
      <c r="A92" s="640"/>
      <c r="B92" s="955" t="s">
        <v>792</v>
      </c>
      <c r="C92" s="955"/>
      <c r="D92" s="955"/>
      <c r="E92" s="955"/>
      <c r="F92" s="955"/>
      <c r="G92" s="955"/>
      <c r="H92" s="955"/>
      <c r="I92" s="955"/>
      <c r="J92" s="732"/>
      <c r="K92" s="732"/>
      <c r="L92" s="732"/>
      <c r="M92" s="732"/>
      <c r="N92" s="732"/>
      <c r="O92" s="732"/>
      <c r="P92" s="732"/>
      <c r="Q92" s="732"/>
      <c r="R92" s="732"/>
      <c r="S92" s="731"/>
    </row>
    <row r="93" spans="1:25" ht="31" customHeight="1" x14ac:dyDescent="0.3">
      <c r="A93" s="640"/>
      <c r="B93" s="638" t="s">
        <v>801</v>
      </c>
      <c r="C93" s="918" t="s">
        <v>817</v>
      </c>
      <c r="D93" s="918"/>
      <c r="E93" s="918"/>
      <c r="F93" s="918"/>
      <c r="G93" s="918"/>
      <c r="H93" s="918"/>
      <c r="I93" s="918"/>
      <c r="J93" s="732"/>
      <c r="K93" s="732"/>
      <c r="L93" s="732"/>
      <c r="M93" s="732"/>
      <c r="N93" s="732"/>
      <c r="O93" s="732"/>
      <c r="P93" s="732"/>
      <c r="Q93" s="732"/>
      <c r="R93" s="732"/>
      <c r="S93" s="731"/>
    </row>
    <row r="94" spans="1:25" ht="31" customHeight="1" x14ac:dyDescent="0.3">
      <c r="A94" s="640"/>
      <c r="B94" s="638" t="s">
        <v>794</v>
      </c>
      <c r="C94" s="920" t="s">
        <v>803</v>
      </c>
      <c r="D94" s="920"/>
      <c r="E94" s="920"/>
      <c r="F94" s="920"/>
      <c r="G94" s="920"/>
      <c r="H94" s="920"/>
      <c r="I94" s="920"/>
      <c r="J94" s="732"/>
      <c r="K94" s="732"/>
      <c r="L94" s="732"/>
      <c r="M94" s="732"/>
      <c r="N94" s="732"/>
      <c r="O94" s="732"/>
      <c r="P94" s="732"/>
      <c r="Q94" s="732"/>
      <c r="R94" s="732"/>
      <c r="S94" s="731"/>
    </row>
    <row r="95" spans="1:25" ht="31" customHeight="1" x14ac:dyDescent="0.3">
      <c r="A95" s="640"/>
      <c r="B95" s="638" t="s">
        <v>818</v>
      </c>
      <c r="C95" s="920" t="s">
        <v>808</v>
      </c>
      <c r="D95" s="920"/>
      <c r="E95" s="920"/>
      <c r="F95" s="920"/>
      <c r="G95" s="920"/>
      <c r="H95" s="920"/>
      <c r="I95" s="920"/>
      <c r="J95" s="732"/>
      <c r="K95" s="732"/>
      <c r="L95" s="732"/>
      <c r="M95" s="732"/>
      <c r="N95" s="732"/>
      <c r="O95" s="732"/>
      <c r="P95" s="732"/>
      <c r="Q95" s="732"/>
      <c r="R95" s="732"/>
      <c r="S95" s="731"/>
    </row>
    <row r="96" spans="1:25" ht="31" customHeight="1" x14ac:dyDescent="0.3">
      <c r="A96" s="640"/>
      <c r="B96" s="737" t="s">
        <v>819</v>
      </c>
      <c r="C96" s="920" t="s">
        <v>816</v>
      </c>
      <c r="D96" s="920"/>
      <c r="E96" s="920"/>
      <c r="F96" s="920"/>
      <c r="G96" s="920"/>
      <c r="H96" s="920"/>
      <c r="I96" s="920"/>
      <c r="J96" s="732"/>
      <c r="K96" s="732"/>
      <c r="L96" s="732"/>
      <c r="M96" s="732"/>
      <c r="N96" s="732"/>
      <c r="O96" s="732"/>
      <c r="P96" s="732"/>
      <c r="Q96" s="732"/>
      <c r="R96" s="732"/>
      <c r="S96" s="731"/>
    </row>
    <row r="97" spans="1:19" ht="31" customHeight="1" x14ac:dyDescent="0.3">
      <c r="A97" s="640"/>
      <c r="B97" s="744" t="s">
        <v>828</v>
      </c>
      <c r="C97" s="920" t="s">
        <v>829</v>
      </c>
      <c r="D97" s="920"/>
      <c r="E97" s="920"/>
      <c r="F97" s="920"/>
      <c r="G97" s="920"/>
      <c r="H97" s="920"/>
      <c r="I97" s="920"/>
      <c r="J97" s="732"/>
      <c r="K97" s="732"/>
      <c r="L97" s="732"/>
      <c r="M97" s="732"/>
      <c r="N97" s="732"/>
      <c r="O97" s="732"/>
      <c r="P97" s="732"/>
      <c r="Q97" s="732"/>
      <c r="R97" s="732"/>
      <c r="S97" s="731"/>
    </row>
    <row r="98" spans="1:19" ht="31" customHeight="1" x14ac:dyDescent="0.3">
      <c r="A98" s="640"/>
      <c r="B98" s="737" t="s">
        <v>838</v>
      </c>
      <c r="C98" s="920" t="s">
        <v>839</v>
      </c>
      <c r="D98" s="920"/>
      <c r="E98" s="920"/>
      <c r="F98" s="920"/>
      <c r="G98" s="920"/>
      <c r="H98" s="920"/>
      <c r="I98" s="920"/>
      <c r="J98" s="732"/>
      <c r="K98" s="732"/>
      <c r="L98" s="732"/>
      <c r="M98" s="732"/>
      <c r="N98" s="732"/>
      <c r="O98" s="732"/>
      <c r="P98" s="732"/>
      <c r="Q98" s="732"/>
      <c r="R98" s="732"/>
      <c r="S98" s="731"/>
    </row>
    <row r="100" spans="1:19" s="627" customFormat="1" ht="31" customHeight="1" x14ac:dyDescent="0.3">
      <c r="A100" s="688" t="s">
        <v>781</v>
      </c>
    </row>
    <row r="102" spans="1:19" ht="31" customHeight="1" x14ac:dyDescent="0.3">
      <c r="B102" s="640"/>
      <c r="C102" s="919" t="s">
        <v>843</v>
      </c>
      <c r="D102" s="919"/>
      <c r="E102" s="919"/>
      <c r="F102" s="919"/>
      <c r="G102" s="919"/>
    </row>
    <row r="103" spans="1:19" ht="31" customHeight="1" x14ac:dyDescent="0.3">
      <c r="B103" s="640"/>
      <c r="C103" s="919" t="s">
        <v>844</v>
      </c>
      <c r="D103" s="919"/>
      <c r="E103" s="919"/>
      <c r="F103" s="919"/>
      <c r="G103" s="919"/>
    </row>
    <row r="104" spans="1:19" ht="31" customHeight="1" x14ac:dyDescent="0.3">
      <c r="B104" s="640"/>
      <c r="C104" s="918" t="s">
        <v>845</v>
      </c>
      <c r="D104" s="918"/>
      <c r="E104" s="918"/>
      <c r="F104" s="918"/>
      <c r="G104" s="918"/>
    </row>
    <row r="105" spans="1:19" ht="31" customHeight="1" x14ac:dyDescent="0.3">
      <c r="B105" s="640"/>
      <c r="C105" s="937" t="s">
        <v>846</v>
      </c>
      <c r="D105" s="937" t="s">
        <v>841</v>
      </c>
      <c r="E105" s="937" t="s">
        <v>848</v>
      </c>
      <c r="F105" s="937" t="s">
        <v>851</v>
      </c>
      <c r="G105" s="939" t="s">
        <v>852</v>
      </c>
    </row>
    <row r="106" spans="1:19" ht="31" customHeight="1" x14ac:dyDescent="0.3">
      <c r="A106" s="930" t="s">
        <v>783</v>
      </c>
      <c r="B106" s="931" t="s">
        <v>784</v>
      </c>
      <c r="C106" s="938"/>
      <c r="D106" s="938"/>
      <c r="E106" s="938"/>
      <c r="F106" s="938"/>
      <c r="G106" s="940"/>
    </row>
    <row r="107" spans="1:19" ht="31" customHeight="1" x14ac:dyDescent="0.3">
      <c r="A107" s="930"/>
      <c r="B107" s="932"/>
      <c r="C107" s="718" t="s">
        <v>779</v>
      </c>
      <c r="D107" s="718" t="s">
        <v>847</v>
      </c>
      <c r="E107" s="718" t="s">
        <v>260</v>
      </c>
      <c r="F107" s="718" t="s">
        <v>260</v>
      </c>
      <c r="G107" s="718" t="s">
        <v>311</v>
      </c>
    </row>
    <row r="108" spans="1:19" ht="20.149999999999999" customHeight="1" x14ac:dyDescent="0.3">
      <c r="A108" s="930" t="s">
        <v>261</v>
      </c>
      <c r="B108" s="637" t="s">
        <v>262</v>
      </c>
      <c r="C108" s="693">
        <f>C19</f>
        <v>1157</v>
      </c>
      <c r="D108" s="718">
        <f t="shared" ref="D108:D135" si="7">F62</f>
        <v>26</v>
      </c>
      <c r="E108" s="694">
        <f t="shared" ref="E108:E135" si="8">K62</f>
        <v>0.46</v>
      </c>
      <c r="F108" s="694">
        <v>0.4</v>
      </c>
      <c r="G108" s="697">
        <f>(C108*D108)*(1-E108)*(1-F108)</f>
        <v>9746.5679999999993</v>
      </c>
    </row>
    <row r="109" spans="1:19" ht="20.149999999999999" customHeight="1" x14ac:dyDescent="0.3">
      <c r="A109" s="930"/>
      <c r="B109" s="637" t="s">
        <v>263</v>
      </c>
      <c r="C109" s="693">
        <f t="shared" ref="C109:C135" si="9">C20</f>
        <v>14</v>
      </c>
      <c r="D109" s="718">
        <f t="shared" si="7"/>
        <v>66</v>
      </c>
      <c r="E109" s="694">
        <f t="shared" si="8"/>
        <v>0.46</v>
      </c>
      <c r="F109" s="694">
        <v>0.4</v>
      </c>
      <c r="G109" s="697">
        <f t="shared" ref="G109:G135" si="10">(C109*D109)*(1-E109)*(1-F109)</f>
        <v>299.37600000000003</v>
      </c>
    </row>
    <row r="110" spans="1:19" ht="20.149999999999999" customHeight="1" x14ac:dyDescent="0.3">
      <c r="A110" s="930"/>
      <c r="B110" s="638" t="s">
        <v>264</v>
      </c>
      <c r="C110" s="693">
        <f t="shared" si="9"/>
        <v>0</v>
      </c>
      <c r="D110" s="718">
        <f t="shared" si="7"/>
        <v>57</v>
      </c>
      <c r="E110" s="694">
        <f t="shared" si="8"/>
        <v>0.46</v>
      </c>
      <c r="F110" s="694">
        <v>0.4</v>
      </c>
      <c r="G110" s="697">
        <f t="shared" si="10"/>
        <v>0</v>
      </c>
    </row>
    <row r="111" spans="1:19" ht="20.149999999999999" customHeight="1" x14ac:dyDescent="0.3">
      <c r="A111" s="930"/>
      <c r="B111" s="638" t="s">
        <v>265</v>
      </c>
      <c r="C111" s="693">
        <f t="shared" si="9"/>
        <v>0</v>
      </c>
      <c r="D111" s="718">
        <f t="shared" si="7"/>
        <v>65</v>
      </c>
      <c r="E111" s="694">
        <f t="shared" si="8"/>
        <v>0.46</v>
      </c>
      <c r="F111" s="694">
        <v>0.4</v>
      </c>
      <c r="G111" s="697">
        <f t="shared" si="10"/>
        <v>0</v>
      </c>
    </row>
    <row r="112" spans="1:19" ht="20.149999999999999" customHeight="1" x14ac:dyDescent="0.3">
      <c r="A112" s="930"/>
      <c r="B112" s="638" t="s">
        <v>309</v>
      </c>
      <c r="C112" s="693">
        <f t="shared" si="9"/>
        <v>368</v>
      </c>
      <c r="D112" s="718">
        <f t="shared" si="7"/>
        <v>76</v>
      </c>
      <c r="E112" s="694">
        <f t="shared" si="8"/>
        <v>0.16</v>
      </c>
      <c r="F112" s="694">
        <v>0.23</v>
      </c>
      <c r="G112" s="697">
        <f t="shared" si="10"/>
        <v>18089.702399999998</v>
      </c>
    </row>
    <row r="113" spans="1:7" ht="20.149999999999999" customHeight="1" x14ac:dyDescent="0.3">
      <c r="A113" s="930"/>
      <c r="B113" s="637" t="s">
        <v>266</v>
      </c>
      <c r="C113" s="693">
        <f t="shared" si="9"/>
        <v>1200</v>
      </c>
      <c r="D113" s="718">
        <f t="shared" si="7"/>
        <v>75</v>
      </c>
      <c r="E113" s="694">
        <f t="shared" si="8"/>
        <v>0.46</v>
      </c>
      <c r="F113" s="694">
        <v>0.4</v>
      </c>
      <c r="G113" s="697">
        <f t="shared" si="10"/>
        <v>29160</v>
      </c>
    </row>
    <row r="114" spans="1:7" ht="20.149999999999999" customHeight="1" x14ac:dyDescent="0.3">
      <c r="A114" s="930"/>
      <c r="B114" s="637" t="s">
        <v>267</v>
      </c>
      <c r="C114" s="693">
        <f t="shared" si="9"/>
        <v>922</v>
      </c>
      <c r="D114" s="718">
        <f t="shared" si="7"/>
        <v>121</v>
      </c>
      <c r="E114" s="694">
        <f t="shared" si="8"/>
        <v>0.16</v>
      </c>
      <c r="F114" s="694">
        <v>0.23</v>
      </c>
      <c r="G114" s="697">
        <f t="shared" si="10"/>
        <v>72158.301600000006</v>
      </c>
    </row>
    <row r="115" spans="1:7" ht="20.149999999999999" customHeight="1" x14ac:dyDescent="0.3">
      <c r="A115" s="930"/>
      <c r="B115" s="637" t="s">
        <v>268</v>
      </c>
      <c r="C115" s="693">
        <f t="shared" si="9"/>
        <v>77</v>
      </c>
      <c r="D115" s="718">
        <f t="shared" si="7"/>
        <v>114</v>
      </c>
      <c r="E115" s="694">
        <f t="shared" si="8"/>
        <v>0.46</v>
      </c>
      <c r="F115" s="694">
        <v>0.4</v>
      </c>
      <c r="G115" s="697">
        <f t="shared" si="10"/>
        <v>2844.0719999999997</v>
      </c>
    </row>
    <row r="116" spans="1:7" ht="20.149999999999999" customHeight="1" x14ac:dyDescent="0.3">
      <c r="A116" s="933" t="s">
        <v>269</v>
      </c>
      <c r="B116" s="637" t="s">
        <v>270</v>
      </c>
      <c r="C116" s="693">
        <f t="shared" si="9"/>
        <v>0</v>
      </c>
      <c r="D116" s="718">
        <f t="shared" si="7"/>
        <v>17</v>
      </c>
      <c r="E116" s="694">
        <f t="shared" si="8"/>
        <v>0</v>
      </c>
      <c r="F116" s="694">
        <v>0.3</v>
      </c>
      <c r="G116" s="697">
        <f t="shared" si="10"/>
        <v>0</v>
      </c>
    </row>
    <row r="117" spans="1:7" ht="20.149999999999999" customHeight="1" x14ac:dyDescent="0.3">
      <c r="A117" s="934"/>
      <c r="B117" s="637" t="s">
        <v>271</v>
      </c>
      <c r="C117" s="693">
        <f t="shared" si="9"/>
        <v>0</v>
      </c>
      <c r="D117" s="718">
        <f t="shared" si="7"/>
        <v>17</v>
      </c>
      <c r="E117" s="694">
        <f t="shared" si="8"/>
        <v>0</v>
      </c>
      <c r="F117" s="694">
        <v>0.3</v>
      </c>
      <c r="G117" s="697">
        <f t="shared" si="10"/>
        <v>0</v>
      </c>
    </row>
    <row r="118" spans="1:7" ht="20.149999999999999" customHeight="1" x14ac:dyDescent="0.3">
      <c r="A118" s="934"/>
      <c r="B118" s="637" t="s">
        <v>272</v>
      </c>
      <c r="C118" s="693">
        <f t="shared" si="9"/>
        <v>0</v>
      </c>
      <c r="D118" s="718">
        <f t="shared" si="7"/>
        <v>17</v>
      </c>
      <c r="E118" s="694">
        <f t="shared" si="8"/>
        <v>0</v>
      </c>
      <c r="F118" s="694">
        <v>0.3</v>
      </c>
      <c r="G118" s="697">
        <f t="shared" si="10"/>
        <v>0</v>
      </c>
    </row>
    <row r="119" spans="1:7" ht="20.149999999999999" customHeight="1" x14ac:dyDescent="0.3">
      <c r="A119" s="934"/>
      <c r="B119" s="637" t="s">
        <v>273</v>
      </c>
      <c r="C119" s="693">
        <f t="shared" si="9"/>
        <v>0</v>
      </c>
      <c r="D119" s="718">
        <f t="shared" si="7"/>
        <v>17</v>
      </c>
      <c r="E119" s="694">
        <f t="shared" si="8"/>
        <v>0</v>
      </c>
      <c r="F119" s="694">
        <v>0.3</v>
      </c>
      <c r="G119" s="697">
        <f t="shared" si="10"/>
        <v>0</v>
      </c>
    </row>
    <row r="120" spans="1:7" ht="20.149999999999999" customHeight="1" x14ac:dyDescent="0.3">
      <c r="A120" s="935"/>
      <c r="B120" s="637" t="s">
        <v>274</v>
      </c>
      <c r="C120" s="693">
        <f t="shared" si="9"/>
        <v>0</v>
      </c>
      <c r="D120" s="718">
        <f t="shared" si="7"/>
        <v>17</v>
      </c>
      <c r="E120" s="694">
        <f t="shared" si="8"/>
        <v>0</v>
      </c>
      <c r="F120" s="694">
        <v>0.3</v>
      </c>
      <c r="G120" s="697">
        <f t="shared" si="10"/>
        <v>0</v>
      </c>
    </row>
    <row r="121" spans="1:7" ht="20.149999999999999" customHeight="1" x14ac:dyDescent="0.3">
      <c r="A121" s="933" t="s">
        <v>275</v>
      </c>
      <c r="B121" s="637" t="s">
        <v>276</v>
      </c>
      <c r="C121" s="693">
        <f t="shared" si="9"/>
        <v>0</v>
      </c>
      <c r="D121" s="718">
        <f t="shared" si="7"/>
        <v>0.4</v>
      </c>
      <c r="E121" s="694">
        <f t="shared" si="8"/>
        <v>6.0000000000000001E-3</v>
      </c>
      <c r="F121" s="694">
        <v>0.5</v>
      </c>
      <c r="G121" s="697">
        <f t="shared" si="10"/>
        <v>0</v>
      </c>
    </row>
    <row r="122" spans="1:7" ht="20.149999999999999" customHeight="1" x14ac:dyDescent="0.3">
      <c r="A122" s="934"/>
      <c r="B122" s="637" t="s">
        <v>277</v>
      </c>
      <c r="C122" s="693">
        <f t="shared" si="9"/>
        <v>67</v>
      </c>
      <c r="D122" s="718">
        <f t="shared" si="7"/>
        <v>0.5</v>
      </c>
      <c r="E122" s="694">
        <f t="shared" si="8"/>
        <v>6.0000000000000001E-3</v>
      </c>
      <c r="F122" s="694">
        <v>0.5</v>
      </c>
      <c r="G122" s="697">
        <f t="shared" si="10"/>
        <v>16.6495</v>
      </c>
    </row>
    <row r="123" spans="1:7" ht="20.149999999999999" customHeight="1" x14ac:dyDescent="0.3">
      <c r="A123" s="934"/>
      <c r="B123" s="637" t="s">
        <v>278</v>
      </c>
      <c r="C123" s="693">
        <f t="shared" si="9"/>
        <v>232</v>
      </c>
      <c r="D123" s="718">
        <f t="shared" si="7"/>
        <v>0.5</v>
      </c>
      <c r="E123" s="694">
        <f t="shared" si="8"/>
        <v>6.0000000000000001E-3</v>
      </c>
      <c r="F123" s="694">
        <v>0.5</v>
      </c>
      <c r="G123" s="697">
        <f t="shared" si="10"/>
        <v>57.652000000000001</v>
      </c>
    </row>
    <row r="124" spans="1:7" ht="20.149999999999999" customHeight="1" x14ac:dyDescent="0.3">
      <c r="A124" s="934"/>
      <c r="B124" s="637" t="s">
        <v>279</v>
      </c>
      <c r="C124" s="693">
        <f t="shared" si="9"/>
        <v>0</v>
      </c>
      <c r="D124" s="718">
        <f t="shared" si="7"/>
        <v>1.8</v>
      </c>
      <c r="E124" s="694">
        <f t="shared" si="8"/>
        <v>6.0000000000000001E-3</v>
      </c>
      <c r="F124" s="694">
        <v>0.5</v>
      </c>
      <c r="G124" s="697">
        <f t="shared" si="10"/>
        <v>0</v>
      </c>
    </row>
    <row r="125" spans="1:7" ht="20.149999999999999" customHeight="1" x14ac:dyDescent="0.3">
      <c r="A125" s="935"/>
      <c r="B125" s="637" t="s">
        <v>280</v>
      </c>
      <c r="C125" s="693">
        <f t="shared" si="9"/>
        <v>77</v>
      </c>
      <c r="D125" s="718">
        <f t="shared" si="7"/>
        <v>1.1000000000000001</v>
      </c>
      <c r="E125" s="694">
        <f t="shared" si="8"/>
        <v>6.0000000000000001E-3</v>
      </c>
      <c r="F125" s="694">
        <v>0.5</v>
      </c>
      <c r="G125" s="697">
        <f t="shared" si="10"/>
        <v>42.0959</v>
      </c>
    </row>
    <row r="126" spans="1:7" ht="20.149999999999999" customHeight="1" x14ac:dyDescent="0.3">
      <c r="A126" s="930" t="s">
        <v>281</v>
      </c>
      <c r="B126" s="637" t="s">
        <v>282</v>
      </c>
      <c r="C126" s="693">
        <f t="shared" si="9"/>
        <v>24</v>
      </c>
      <c r="D126" s="718">
        <f t="shared" si="7"/>
        <v>4.0999999999999996</v>
      </c>
      <c r="E126" s="694">
        <f t="shared" si="8"/>
        <v>0.65</v>
      </c>
      <c r="F126" s="694">
        <v>0.15</v>
      </c>
      <c r="G126" s="697">
        <f t="shared" si="10"/>
        <v>29.273999999999997</v>
      </c>
    </row>
    <row r="127" spans="1:7" ht="20.149999999999999" customHeight="1" x14ac:dyDescent="0.3">
      <c r="A127" s="930"/>
      <c r="B127" s="637" t="s">
        <v>283</v>
      </c>
      <c r="C127" s="693">
        <f t="shared" si="9"/>
        <v>727</v>
      </c>
      <c r="D127" s="718">
        <f t="shared" si="7"/>
        <v>4.0999999999999996</v>
      </c>
      <c r="E127" s="694">
        <f t="shared" si="8"/>
        <v>0.65</v>
      </c>
      <c r="F127" s="694">
        <v>0.15</v>
      </c>
      <c r="G127" s="697">
        <f t="shared" si="10"/>
        <v>886.75824999999986</v>
      </c>
    </row>
    <row r="128" spans="1:7" ht="20.149999999999999" customHeight="1" x14ac:dyDescent="0.3">
      <c r="A128" s="930"/>
      <c r="B128" s="637" t="s">
        <v>284</v>
      </c>
      <c r="C128" s="693">
        <f t="shared" si="9"/>
        <v>665</v>
      </c>
      <c r="D128" s="718">
        <f t="shared" si="7"/>
        <v>4.0999999999999996</v>
      </c>
      <c r="E128" s="694">
        <f t="shared" si="8"/>
        <v>0.65</v>
      </c>
      <c r="F128" s="694">
        <v>0.15</v>
      </c>
      <c r="G128" s="697">
        <f t="shared" si="10"/>
        <v>811.13374999999974</v>
      </c>
    </row>
    <row r="129" spans="1:18" ht="20.149999999999999" customHeight="1" x14ac:dyDescent="0.3">
      <c r="A129" s="933" t="s">
        <v>285</v>
      </c>
      <c r="B129" s="637" t="s">
        <v>286</v>
      </c>
      <c r="C129" s="693">
        <f t="shared" si="9"/>
        <v>341</v>
      </c>
      <c r="D129" s="718">
        <f t="shared" si="7"/>
        <v>49.3</v>
      </c>
      <c r="E129" s="694">
        <f t="shared" si="8"/>
        <v>0.68</v>
      </c>
      <c r="F129" s="694">
        <v>0.15</v>
      </c>
      <c r="G129" s="697">
        <f t="shared" si="10"/>
        <v>4572.6735999999992</v>
      </c>
    </row>
    <row r="130" spans="1:18" ht="20.149999999999999" customHeight="1" x14ac:dyDescent="0.3">
      <c r="A130" s="934"/>
      <c r="B130" s="637" t="s">
        <v>292</v>
      </c>
      <c r="C130" s="693">
        <f t="shared" si="9"/>
        <v>498</v>
      </c>
      <c r="D130" s="718">
        <f t="shared" si="7"/>
        <v>10.5</v>
      </c>
      <c r="E130" s="694">
        <f t="shared" si="8"/>
        <v>0.57999999999999996</v>
      </c>
      <c r="F130" s="694">
        <v>0.15</v>
      </c>
      <c r="G130" s="697">
        <f t="shared" si="10"/>
        <v>1866.7530000000002</v>
      </c>
    </row>
    <row r="131" spans="1:18" ht="20.149999999999999" customHeight="1" x14ac:dyDescent="0.3">
      <c r="A131" s="934"/>
      <c r="B131" s="637" t="s">
        <v>287</v>
      </c>
      <c r="C131" s="693">
        <f t="shared" si="9"/>
        <v>0</v>
      </c>
      <c r="D131" s="718">
        <f t="shared" si="7"/>
        <v>11.1</v>
      </c>
      <c r="E131" s="694">
        <f t="shared" si="8"/>
        <v>0</v>
      </c>
      <c r="F131" s="694">
        <v>0.15</v>
      </c>
      <c r="G131" s="697">
        <f t="shared" si="10"/>
        <v>0</v>
      </c>
    </row>
    <row r="132" spans="1:18" ht="20.149999999999999" customHeight="1" x14ac:dyDescent="0.3">
      <c r="A132" s="934"/>
      <c r="B132" s="637" t="s">
        <v>288</v>
      </c>
      <c r="C132" s="693">
        <f t="shared" si="9"/>
        <v>0</v>
      </c>
      <c r="D132" s="718">
        <f t="shared" si="7"/>
        <v>67.599999999999994</v>
      </c>
      <c r="E132" s="694">
        <f t="shared" si="8"/>
        <v>0.42</v>
      </c>
      <c r="F132" s="694">
        <v>0.15</v>
      </c>
      <c r="G132" s="697">
        <f t="shared" si="10"/>
        <v>0</v>
      </c>
    </row>
    <row r="133" spans="1:18" ht="20.149999999999999" customHeight="1" x14ac:dyDescent="0.3">
      <c r="A133" s="934"/>
      <c r="B133" s="637" t="s">
        <v>289</v>
      </c>
      <c r="C133" s="693">
        <f t="shared" si="9"/>
        <v>0</v>
      </c>
      <c r="D133" s="718">
        <f t="shared" si="7"/>
        <v>17.2</v>
      </c>
      <c r="E133" s="694">
        <f t="shared" si="8"/>
        <v>0.72</v>
      </c>
      <c r="F133" s="694">
        <v>0.15</v>
      </c>
      <c r="G133" s="697">
        <f t="shared" si="10"/>
        <v>0</v>
      </c>
    </row>
    <row r="134" spans="1:18" ht="20.149999999999999" customHeight="1" x14ac:dyDescent="0.3">
      <c r="A134" s="934"/>
      <c r="B134" s="637" t="s">
        <v>290</v>
      </c>
      <c r="C134" s="693">
        <f t="shared" si="9"/>
        <v>0</v>
      </c>
      <c r="D134" s="718">
        <f t="shared" si="7"/>
        <v>13.6</v>
      </c>
      <c r="E134" s="694">
        <f t="shared" si="8"/>
        <v>0.5</v>
      </c>
      <c r="F134" s="694">
        <v>0.15</v>
      </c>
      <c r="G134" s="697">
        <f t="shared" si="10"/>
        <v>0</v>
      </c>
    </row>
    <row r="135" spans="1:18" ht="20.149999999999999" customHeight="1" x14ac:dyDescent="0.3">
      <c r="A135" s="934"/>
      <c r="B135" s="723" t="s">
        <v>291</v>
      </c>
      <c r="C135" s="752">
        <f t="shared" si="9"/>
        <v>0</v>
      </c>
      <c r="D135" s="749">
        <f t="shared" si="7"/>
        <v>13.6</v>
      </c>
      <c r="E135" s="753">
        <f t="shared" si="8"/>
        <v>0.5</v>
      </c>
      <c r="F135" s="753">
        <v>0.15</v>
      </c>
      <c r="G135" s="754">
        <f t="shared" si="10"/>
        <v>0</v>
      </c>
    </row>
    <row r="136" spans="1:18" ht="31" customHeight="1" x14ac:dyDescent="0.3">
      <c r="A136" s="936" t="s">
        <v>50</v>
      </c>
      <c r="B136" s="936"/>
      <c r="C136" s="936"/>
      <c r="D136" s="936"/>
      <c r="E136" s="936"/>
      <c r="F136" s="936"/>
      <c r="G136" s="696">
        <f>SUM(G115:G135)</f>
        <v>11127.061999999998</v>
      </c>
    </row>
    <row r="137" spans="1:18" ht="31" customHeight="1" x14ac:dyDescent="0.3">
      <c r="A137" s="751"/>
      <c r="B137" s="751"/>
      <c r="C137" s="751"/>
      <c r="D137" s="751"/>
      <c r="E137" s="751"/>
      <c r="F137" s="751"/>
      <c r="G137" s="733"/>
      <c r="H137" s="629"/>
    </row>
    <row r="138" spans="1:18" ht="31" customHeight="1" x14ac:dyDescent="0.3">
      <c r="B138" s="640"/>
      <c r="D138" s="921" t="s">
        <v>857</v>
      </c>
      <c r="E138" s="921"/>
      <c r="F138" s="921"/>
      <c r="G138" s="921"/>
      <c r="N138" s="635"/>
      <c r="O138" s="635"/>
      <c r="Q138" s="641"/>
      <c r="R138" s="641"/>
    </row>
    <row r="139" spans="1:18" ht="31" customHeight="1" x14ac:dyDescent="0.3">
      <c r="D139" s="922" t="s">
        <v>860</v>
      </c>
      <c r="E139" s="923"/>
      <c r="F139" s="923"/>
      <c r="G139" s="924"/>
    </row>
    <row r="140" spans="1:18" ht="31" customHeight="1" x14ac:dyDescent="0.3">
      <c r="D140" s="925" t="s">
        <v>861</v>
      </c>
      <c r="E140" s="926"/>
      <c r="F140" s="926"/>
      <c r="G140" s="927"/>
      <c r="I140" s="629"/>
    </row>
    <row r="141" spans="1:18" ht="69" customHeight="1" x14ac:dyDescent="0.3">
      <c r="D141" s="719" t="s">
        <v>864</v>
      </c>
      <c r="E141" s="719" t="s">
        <v>744</v>
      </c>
      <c r="F141" s="718" t="s">
        <v>862</v>
      </c>
      <c r="G141" s="719" t="s">
        <v>859</v>
      </c>
      <c r="I141" s="629"/>
    </row>
    <row r="142" spans="1:18" ht="69" customHeight="1" x14ac:dyDescent="0.3">
      <c r="D142" s="719" t="s">
        <v>311</v>
      </c>
      <c r="E142" s="719" t="s">
        <v>815</v>
      </c>
      <c r="F142" s="718" t="s">
        <v>863</v>
      </c>
      <c r="G142" s="718" t="s">
        <v>858</v>
      </c>
      <c r="I142" s="629"/>
    </row>
    <row r="143" spans="1:18" ht="31" customHeight="1" x14ac:dyDescent="0.3">
      <c r="D143" s="698">
        <f>G136</f>
        <v>11127.061999999998</v>
      </c>
      <c r="E143" s="699">
        <v>1.2E-2</v>
      </c>
      <c r="F143" s="718">
        <v>1</v>
      </c>
      <c r="G143" s="758">
        <f>D143*E143*F143*44/28</f>
        <v>209.82459771428566</v>
      </c>
      <c r="I143" s="629"/>
    </row>
    <row r="144" spans="1:18" ht="31" customHeight="1" x14ac:dyDescent="0.3">
      <c r="A144" s="757"/>
      <c r="B144" s="756"/>
      <c r="C144" s="756"/>
      <c r="D144" s="756"/>
      <c r="E144" s="755"/>
      <c r="F144" s="745"/>
      <c r="I144" s="629"/>
    </row>
    <row r="145" spans="1:9" ht="31" customHeight="1" x14ac:dyDescent="0.3">
      <c r="A145" s="921" t="s">
        <v>869</v>
      </c>
      <c r="B145" s="921"/>
      <c r="C145" s="921"/>
      <c r="D145" s="921"/>
      <c r="E145" s="755"/>
      <c r="F145" s="745"/>
      <c r="I145" s="629"/>
    </row>
    <row r="146" spans="1:9" ht="31" customHeight="1" x14ac:dyDescent="0.3">
      <c r="A146" s="922" t="s">
        <v>870</v>
      </c>
      <c r="B146" s="923"/>
      <c r="C146" s="923"/>
      <c r="D146" s="924"/>
      <c r="E146" s="755"/>
      <c r="F146" s="745"/>
      <c r="I146" s="629"/>
    </row>
    <row r="147" spans="1:9" ht="31" customHeight="1" x14ac:dyDescent="0.3">
      <c r="A147" s="925" t="s">
        <v>871</v>
      </c>
      <c r="B147" s="926"/>
      <c r="C147" s="926"/>
      <c r="D147" s="927"/>
      <c r="E147" s="755"/>
      <c r="F147" s="745"/>
      <c r="I147" s="629"/>
    </row>
    <row r="148" spans="1:9" ht="51" customHeight="1" x14ac:dyDescent="0.3">
      <c r="A148" s="928" t="s">
        <v>293</v>
      </c>
      <c r="B148" s="678" t="s">
        <v>873</v>
      </c>
      <c r="C148" s="678" t="s">
        <v>872</v>
      </c>
      <c r="D148" s="691" t="s">
        <v>874</v>
      </c>
      <c r="E148" s="755"/>
      <c r="F148" s="745"/>
      <c r="I148" s="629"/>
    </row>
    <row r="149" spans="1:9" ht="20.149999999999999" customHeight="1" x14ac:dyDescent="0.3">
      <c r="A149" s="929"/>
      <c r="B149" s="678" t="s">
        <v>294</v>
      </c>
      <c r="C149" s="691" t="s">
        <v>310</v>
      </c>
      <c r="D149" s="691" t="s">
        <v>311</v>
      </c>
      <c r="E149" s="755"/>
      <c r="F149" s="745"/>
      <c r="I149" s="629"/>
    </row>
    <row r="150" spans="1:9" ht="20.149999999999999" customHeight="1" x14ac:dyDescent="0.3">
      <c r="A150" s="638" t="s">
        <v>295</v>
      </c>
      <c r="B150" s="698">
        <v>255</v>
      </c>
      <c r="C150" s="698">
        <v>100</v>
      </c>
      <c r="D150" s="698">
        <f t="shared" ref="D150:D164" si="11">$C150*B150</f>
        <v>25500</v>
      </c>
      <c r="E150" s="755"/>
      <c r="F150" s="745"/>
      <c r="I150" s="629"/>
    </row>
    <row r="151" spans="1:9" ht="20.149999999999999" customHeight="1" x14ac:dyDescent="0.3">
      <c r="A151" s="638" t="s">
        <v>306</v>
      </c>
      <c r="B151" s="698">
        <v>135</v>
      </c>
      <c r="C151" s="698">
        <v>50</v>
      </c>
      <c r="D151" s="698">
        <f t="shared" si="11"/>
        <v>6750</v>
      </c>
      <c r="E151" s="755"/>
      <c r="F151" s="745"/>
      <c r="I151" s="629"/>
    </row>
    <row r="152" spans="1:9" ht="20.149999999999999" customHeight="1" x14ac:dyDescent="0.3">
      <c r="A152" s="638" t="s">
        <v>307</v>
      </c>
      <c r="B152" s="698">
        <v>23</v>
      </c>
      <c r="C152" s="698">
        <v>70</v>
      </c>
      <c r="D152" s="698">
        <f t="shared" si="11"/>
        <v>1610</v>
      </c>
      <c r="E152" s="755"/>
      <c r="F152" s="745"/>
      <c r="I152" s="629"/>
    </row>
    <row r="153" spans="1:9" ht="20.149999999999999" customHeight="1" x14ac:dyDescent="0.3">
      <c r="A153" s="638" t="s">
        <v>296</v>
      </c>
      <c r="B153" s="698">
        <v>0</v>
      </c>
      <c r="C153" s="698">
        <v>75</v>
      </c>
      <c r="D153" s="698">
        <f t="shared" si="11"/>
        <v>0</v>
      </c>
      <c r="E153" s="755"/>
      <c r="F153" s="745"/>
      <c r="I153" s="629"/>
    </row>
    <row r="154" spans="1:9" ht="20.149999999999999" customHeight="1" x14ac:dyDescent="0.3">
      <c r="A154" s="638" t="s">
        <v>297</v>
      </c>
      <c r="B154" s="698">
        <v>662</v>
      </c>
      <c r="C154" s="698">
        <v>180</v>
      </c>
      <c r="D154" s="698">
        <f t="shared" si="11"/>
        <v>119160</v>
      </c>
      <c r="E154" s="755"/>
      <c r="F154" s="745"/>
      <c r="I154" s="629"/>
    </row>
    <row r="155" spans="1:9" ht="20.149999999999999" customHeight="1" x14ac:dyDescent="0.3">
      <c r="A155" s="638" t="s">
        <v>298</v>
      </c>
      <c r="B155" s="698">
        <v>99</v>
      </c>
      <c r="C155" s="698">
        <v>180</v>
      </c>
      <c r="D155" s="698">
        <f t="shared" si="11"/>
        <v>17820</v>
      </c>
      <c r="E155" s="755"/>
      <c r="F155" s="745"/>
      <c r="I155" s="629"/>
    </row>
    <row r="156" spans="1:9" ht="20.149999999999999" customHeight="1" x14ac:dyDescent="0.3">
      <c r="A156" s="638" t="s">
        <v>308</v>
      </c>
      <c r="B156" s="698">
        <v>71</v>
      </c>
      <c r="C156" s="698">
        <v>45</v>
      </c>
      <c r="D156" s="698">
        <f t="shared" si="11"/>
        <v>3195</v>
      </c>
      <c r="E156" s="755"/>
      <c r="F156" s="745"/>
      <c r="I156" s="629"/>
    </row>
    <row r="157" spans="1:9" ht="20.149999999999999" customHeight="1" x14ac:dyDescent="0.3">
      <c r="A157" s="638" t="s">
        <v>773</v>
      </c>
      <c r="B157" s="698">
        <v>1100</v>
      </c>
      <c r="C157" s="698">
        <v>38</v>
      </c>
      <c r="D157" s="698">
        <f t="shared" si="11"/>
        <v>41800</v>
      </c>
      <c r="E157" s="755"/>
      <c r="F157" s="745"/>
      <c r="I157" s="629"/>
    </row>
    <row r="158" spans="1:9" ht="20.149999999999999" customHeight="1" x14ac:dyDescent="0.3">
      <c r="A158" s="638" t="s">
        <v>299</v>
      </c>
      <c r="B158" s="698">
        <v>713</v>
      </c>
      <c r="C158" s="698">
        <v>30</v>
      </c>
      <c r="D158" s="698">
        <f t="shared" si="11"/>
        <v>21390</v>
      </c>
      <c r="E158" s="755"/>
      <c r="F158" s="745"/>
      <c r="I158" s="629"/>
    </row>
    <row r="159" spans="1:9" ht="20.149999999999999" customHeight="1" x14ac:dyDescent="0.3">
      <c r="A159" s="638" t="s">
        <v>300</v>
      </c>
      <c r="B159" s="698">
        <v>1805</v>
      </c>
      <c r="C159" s="698">
        <v>60</v>
      </c>
      <c r="D159" s="698">
        <f t="shared" si="11"/>
        <v>108300</v>
      </c>
      <c r="E159" s="755"/>
      <c r="F159" s="745"/>
      <c r="I159" s="629"/>
    </row>
    <row r="160" spans="1:9" ht="20.149999999999999" customHeight="1" x14ac:dyDescent="0.3">
      <c r="A160" s="638" t="s">
        <v>301</v>
      </c>
      <c r="B160" s="698">
        <v>0</v>
      </c>
      <c r="C160" s="698">
        <v>90</v>
      </c>
      <c r="D160" s="698">
        <f t="shared" si="11"/>
        <v>0</v>
      </c>
      <c r="E160" s="755"/>
      <c r="F160" s="745"/>
      <c r="I160" s="629"/>
    </row>
    <row r="161" spans="1:9" ht="20.149999999999999" customHeight="1" x14ac:dyDescent="0.3">
      <c r="A161" s="638" t="s">
        <v>302</v>
      </c>
      <c r="B161" s="698">
        <v>0</v>
      </c>
      <c r="C161" s="698">
        <v>200</v>
      </c>
      <c r="D161" s="698">
        <f t="shared" si="11"/>
        <v>0</v>
      </c>
      <c r="E161" s="755"/>
      <c r="F161" s="745"/>
      <c r="I161" s="629"/>
    </row>
    <row r="162" spans="1:9" ht="20.149999999999999" customHeight="1" x14ac:dyDescent="0.3">
      <c r="A162" s="638" t="s">
        <v>303</v>
      </c>
      <c r="B162" s="698">
        <v>0</v>
      </c>
      <c r="C162" s="698">
        <v>20</v>
      </c>
      <c r="D162" s="698">
        <f t="shared" si="11"/>
        <v>0</v>
      </c>
      <c r="E162" s="755"/>
      <c r="F162" s="745"/>
      <c r="I162" s="629"/>
    </row>
    <row r="163" spans="1:9" ht="20.149999999999999" customHeight="1" x14ac:dyDescent="0.3">
      <c r="A163" s="638" t="s">
        <v>304</v>
      </c>
      <c r="B163" s="698">
        <v>0</v>
      </c>
      <c r="C163" s="698">
        <v>30</v>
      </c>
      <c r="D163" s="698">
        <f t="shared" si="11"/>
        <v>0</v>
      </c>
      <c r="E163" s="755"/>
      <c r="F163" s="745"/>
      <c r="I163" s="629"/>
    </row>
    <row r="164" spans="1:9" ht="20.149999999999999" customHeight="1" x14ac:dyDescent="0.3">
      <c r="A164" s="638" t="s">
        <v>305</v>
      </c>
      <c r="B164" s="698">
        <v>0</v>
      </c>
      <c r="C164" s="698">
        <v>40</v>
      </c>
      <c r="D164" s="698">
        <f t="shared" si="11"/>
        <v>0</v>
      </c>
      <c r="E164" s="755"/>
      <c r="F164" s="745"/>
      <c r="I164" s="629"/>
    </row>
    <row r="165" spans="1:9" ht="20.149999999999999" customHeight="1" x14ac:dyDescent="0.3">
      <c r="B165" s="640"/>
      <c r="C165" s="691" t="s">
        <v>50</v>
      </c>
      <c r="D165" s="696">
        <f>SUM(D150:D164)</f>
        <v>345525</v>
      </c>
      <c r="E165" s="755"/>
      <c r="F165" s="745"/>
      <c r="I165" s="629"/>
    </row>
    <row r="166" spans="1:9" ht="31" customHeight="1" x14ac:dyDescent="0.3">
      <c r="A166" s="640"/>
    </row>
    <row r="167" spans="1:9" ht="31" customHeight="1" x14ac:dyDescent="0.3">
      <c r="A167" s="921" t="s">
        <v>875</v>
      </c>
      <c r="B167" s="921"/>
      <c r="C167" s="921"/>
    </row>
    <row r="168" spans="1:9" ht="31" customHeight="1" x14ac:dyDescent="0.3">
      <c r="A168" s="918" t="s">
        <v>876</v>
      </c>
      <c r="B168" s="918"/>
      <c r="C168" s="918"/>
    </row>
    <row r="169" spans="1:9" ht="31" customHeight="1" x14ac:dyDescent="0.3">
      <c r="A169" s="920" t="s">
        <v>877</v>
      </c>
      <c r="B169" s="920"/>
      <c r="C169" s="920"/>
    </row>
    <row r="170" spans="1:9" ht="50.15" customHeight="1" x14ac:dyDescent="0.3">
      <c r="A170" s="719" t="s">
        <v>869</v>
      </c>
      <c r="B170" s="719" t="s">
        <v>881</v>
      </c>
      <c r="C170" s="719" t="s">
        <v>882</v>
      </c>
    </row>
    <row r="171" spans="1:9" ht="31" customHeight="1" x14ac:dyDescent="0.3">
      <c r="A171" s="718" t="s">
        <v>874</v>
      </c>
      <c r="B171" s="718" t="s">
        <v>852</v>
      </c>
      <c r="C171" s="718" t="s">
        <v>883</v>
      </c>
    </row>
    <row r="172" spans="1:9" ht="31" customHeight="1" x14ac:dyDescent="0.3">
      <c r="A172" s="698">
        <f>D165</f>
        <v>345525</v>
      </c>
      <c r="B172" s="698">
        <f>G136</f>
        <v>11127.061999999998</v>
      </c>
      <c r="C172" s="698">
        <f>A172-B172</f>
        <v>334397.93800000002</v>
      </c>
    </row>
    <row r="173" spans="1:9" ht="31" customHeight="1" x14ac:dyDescent="0.3">
      <c r="A173" s="640"/>
    </row>
    <row r="174" spans="1:9" ht="31" customHeight="1" x14ac:dyDescent="0.3">
      <c r="A174" s="951" t="s">
        <v>865</v>
      </c>
      <c r="B174" s="952"/>
      <c r="C174" s="952"/>
      <c r="D174" s="952"/>
      <c r="E174" s="952"/>
      <c r="F174" s="953"/>
    </row>
    <row r="175" spans="1:9" ht="31" customHeight="1" x14ac:dyDescent="0.3">
      <c r="A175" s="945" t="s">
        <v>866</v>
      </c>
      <c r="B175" s="954"/>
      <c r="C175" s="954"/>
      <c r="D175" s="954"/>
      <c r="E175" s="954"/>
      <c r="F175" s="946"/>
    </row>
    <row r="176" spans="1:9" ht="31" customHeight="1" x14ac:dyDescent="0.3">
      <c r="A176" s="925" t="s">
        <v>867</v>
      </c>
      <c r="B176" s="926"/>
      <c r="C176" s="926"/>
      <c r="D176" s="926"/>
      <c r="E176" s="926"/>
      <c r="F176" s="927"/>
    </row>
    <row r="177" spans="1:9" ht="56.15" customHeight="1" x14ac:dyDescent="0.3">
      <c r="A177" s="714" t="s">
        <v>884</v>
      </c>
      <c r="B177" s="719" t="s">
        <v>864</v>
      </c>
      <c r="C177" s="714" t="s">
        <v>868</v>
      </c>
      <c r="D177" s="714" t="s">
        <v>744</v>
      </c>
      <c r="E177" s="727" t="s">
        <v>862</v>
      </c>
      <c r="F177" s="714" t="s">
        <v>312</v>
      </c>
    </row>
    <row r="178" spans="1:9" ht="31" customHeight="1" x14ac:dyDescent="0.3">
      <c r="A178" s="678" t="s">
        <v>311</v>
      </c>
      <c r="B178" s="719" t="s">
        <v>311</v>
      </c>
      <c r="C178" s="678" t="s">
        <v>311</v>
      </c>
      <c r="D178" s="719" t="s">
        <v>815</v>
      </c>
      <c r="E178" s="718" t="s">
        <v>863</v>
      </c>
      <c r="F178" s="718" t="s">
        <v>858</v>
      </c>
    </row>
    <row r="179" spans="1:9" ht="31" customHeight="1" x14ac:dyDescent="0.3">
      <c r="A179" s="748">
        <f>D165</f>
        <v>345525</v>
      </c>
      <c r="B179" s="748">
        <f>G136</f>
        <v>11127.061999999998</v>
      </c>
      <c r="C179" s="748">
        <f>C172</f>
        <v>334397.93800000002</v>
      </c>
      <c r="D179" s="699">
        <v>1.2E-2</v>
      </c>
      <c r="E179" s="718">
        <v>1</v>
      </c>
      <c r="F179" s="758">
        <f>C179*D179*E179*44/28</f>
        <v>6305.7896879999998</v>
      </c>
    </row>
    <row r="181" spans="1:9" ht="31" customHeight="1" x14ac:dyDescent="0.3">
      <c r="A181" s="921" t="s">
        <v>885</v>
      </c>
      <c r="B181" s="921"/>
      <c r="C181" s="921"/>
    </row>
    <row r="182" spans="1:9" ht="31" customHeight="1" x14ac:dyDescent="0.3">
      <c r="A182" s="918" t="s">
        <v>886</v>
      </c>
      <c r="B182" s="918"/>
      <c r="C182" s="918"/>
    </row>
    <row r="183" spans="1:9" ht="31" customHeight="1" x14ac:dyDescent="0.3">
      <c r="A183" s="920" t="s">
        <v>887</v>
      </c>
      <c r="B183" s="920"/>
      <c r="C183" s="920"/>
    </row>
    <row r="184" spans="1:9" ht="51" customHeight="1" x14ac:dyDescent="0.3">
      <c r="A184" s="714" t="s">
        <v>868</v>
      </c>
      <c r="B184" s="719" t="s">
        <v>864</v>
      </c>
      <c r="C184" s="718" t="s">
        <v>856</v>
      </c>
      <c r="D184" s="718" t="s">
        <v>837</v>
      </c>
      <c r="E184" s="678" t="s">
        <v>888</v>
      </c>
    </row>
    <row r="185" spans="1:9" ht="31" customHeight="1" x14ac:dyDescent="0.3">
      <c r="A185" s="719" t="s">
        <v>311</v>
      </c>
      <c r="B185" s="719" t="s">
        <v>311</v>
      </c>
      <c r="C185" s="718" t="s">
        <v>863</v>
      </c>
      <c r="D185" s="719" t="s">
        <v>815</v>
      </c>
      <c r="E185" s="718" t="s">
        <v>858</v>
      </c>
    </row>
    <row r="186" spans="1:9" ht="31" customHeight="1" x14ac:dyDescent="0.3">
      <c r="A186" s="748">
        <f>C172</f>
        <v>334397.93800000002</v>
      </c>
      <c r="B186" s="698">
        <f>B179</f>
        <v>11127.061999999998</v>
      </c>
      <c r="C186" s="718">
        <v>0.3</v>
      </c>
      <c r="D186" s="718">
        <v>7.4999999999999997E-3</v>
      </c>
      <c r="E186" s="758">
        <f>(A186+B186)*C186*D186*(44/28)</f>
        <v>1221.6776785714285</v>
      </c>
    </row>
    <row r="189" spans="1:9" ht="31" customHeight="1" x14ac:dyDescent="0.3">
      <c r="B189" s="955" t="s">
        <v>792</v>
      </c>
      <c r="C189" s="955"/>
      <c r="D189" s="955"/>
      <c r="E189" s="955"/>
      <c r="F189" s="955"/>
      <c r="G189" s="955"/>
      <c r="H189" s="955"/>
      <c r="I189" s="955"/>
    </row>
    <row r="190" spans="1:9" ht="68.150000000000006" customHeight="1" x14ac:dyDescent="0.3">
      <c r="B190" s="638" t="s">
        <v>293</v>
      </c>
      <c r="C190" s="920" t="s">
        <v>840</v>
      </c>
      <c r="D190" s="920"/>
      <c r="E190" s="920"/>
      <c r="F190" s="920"/>
      <c r="G190" s="920"/>
      <c r="H190" s="920"/>
      <c r="I190" s="920"/>
    </row>
    <row r="191" spans="1:9" ht="31" customHeight="1" x14ac:dyDescent="0.3">
      <c r="B191" s="638" t="s">
        <v>794</v>
      </c>
      <c r="C191" s="920" t="s">
        <v>803</v>
      </c>
      <c r="D191" s="920"/>
      <c r="E191" s="920"/>
      <c r="F191" s="920"/>
      <c r="G191" s="920"/>
      <c r="H191" s="920"/>
      <c r="I191" s="920"/>
    </row>
    <row r="192" spans="1:9" ht="31" customHeight="1" x14ac:dyDescent="0.3">
      <c r="B192" s="750" t="s">
        <v>848</v>
      </c>
      <c r="C192" s="920" t="s">
        <v>808</v>
      </c>
      <c r="D192" s="920"/>
      <c r="E192" s="920"/>
      <c r="F192" s="920"/>
      <c r="G192" s="920"/>
      <c r="H192" s="920"/>
      <c r="I192" s="920"/>
    </row>
    <row r="193" spans="2:9" ht="31" customHeight="1" x14ac:dyDescent="0.3">
      <c r="B193" s="638" t="s">
        <v>795</v>
      </c>
      <c r="C193" s="918" t="s">
        <v>849</v>
      </c>
      <c r="D193" s="918"/>
      <c r="E193" s="918"/>
      <c r="F193" s="918"/>
      <c r="G193" s="918"/>
      <c r="H193" s="918"/>
      <c r="I193" s="918"/>
    </row>
    <row r="194" spans="2:9" ht="31" customHeight="1" x14ac:dyDescent="0.3">
      <c r="B194" s="638" t="s">
        <v>796</v>
      </c>
      <c r="C194" s="918" t="s">
        <v>850</v>
      </c>
      <c r="D194" s="918"/>
      <c r="E194" s="918"/>
      <c r="F194" s="918"/>
      <c r="G194" s="918"/>
      <c r="H194" s="918"/>
      <c r="I194" s="918"/>
    </row>
    <row r="195" spans="2:9" ht="31" customHeight="1" x14ac:dyDescent="0.3">
      <c r="B195" s="637" t="s">
        <v>744</v>
      </c>
      <c r="C195" s="918" t="s">
        <v>853</v>
      </c>
      <c r="D195" s="918"/>
      <c r="E195" s="918"/>
      <c r="F195" s="918"/>
      <c r="G195" s="918"/>
      <c r="H195" s="918"/>
      <c r="I195" s="918"/>
    </row>
    <row r="196" spans="2:9" ht="31" customHeight="1" x14ac:dyDescent="0.3">
      <c r="B196" s="721" t="s">
        <v>854</v>
      </c>
      <c r="C196" s="918" t="s">
        <v>855</v>
      </c>
      <c r="D196" s="918"/>
      <c r="E196" s="918"/>
      <c r="F196" s="918"/>
      <c r="G196" s="918"/>
      <c r="H196" s="918"/>
      <c r="I196" s="918"/>
    </row>
    <row r="197" spans="2:9" ht="31" customHeight="1" x14ac:dyDescent="0.3">
      <c r="B197" s="637" t="s">
        <v>856</v>
      </c>
      <c r="C197" s="918" t="s">
        <v>889</v>
      </c>
      <c r="D197" s="918"/>
      <c r="E197" s="918"/>
      <c r="F197" s="918"/>
      <c r="G197" s="918"/>
      <c r="H197" s="918"/>
      <c r="I197" s="918"/>
    </row>
  </sheetData>
  <sheetProtection algorithmName="SHA-512" hashValue="jK2FjAGJdYTnaoO32z6lbHMwrTbWgZukua2X3oLd3k+GqI7bvXE7Lfd0y0ZHnk6DwKa8WB51bFWpiN7/oETb+w==" saltValue="WvE5kA/1rkKejqWPlkL3gA==" spinCount="100000" sheet="1" objects="1" scenarios="1"/>
  <protectedRanges>
    <protectedRange algorithmName="SHA-512" hashValue="poMs3dfySvHq4Pe0DQCaYBrYSw8CKQJb1ltIqz4qaN2BUFdCOgNpeUtMIOeslyO7LrrUtIIXMn+7wSv7iQPegg==" saltValue="9m5m3H94xtnJDUVmIkK2Tw==" spinCount="100000" sqref="A1:XFD1048576" name="Plage1"/>
  </protectedRanges>
  <mergeCells count="98">
    <mergeCell ref="A83:A89"/>
    <mergeCell ref="G59:H59"/>
    <mergeCell ref="O58:O60"/>
    <mergeCell ref="C50:I50"/>
    <mergeCell ref="B49:I49"/>
    <mergeCell ref="F57:O57"/>
    <mergeCell ref="D58:D60"/>
    <mergeCell ref="E58:E60"/>
    <mergeCell ref="F58:F60"/>
    <mergeCell ref="D57:E57"/>
    <mergeCell ref="G58:N58"/>
    <mergeCell ref="F55:O55"/>
    <mergeCell ref="F56:O56"/>
    <mergeCell ref="M59:N59"/>
    <mergeCell ref="K59:L59"/>
    <mergeCell ref="I59:J59"/>
    <mergeCell ref="C193:I193"/>
    <mergeCell ref="C194:I194"/>
    <mergeCell ref="B189:I189"/>
    <mergeCell ref="B92:I92"/>
    <mergeCell ref="C191:I191"/>
    <mergeCell ref="C192:I192"/>
    <mergeCell ref="C95:I95"/>
    <mergeCell ref="C96:I96"/>
    <mergeCell ref="C97:I97"/>
    <mergeCell ref="C94:I94"/>
    <mergeCell ref="C93:I93"/>
    <mergeCell ref="B17:B18"/>
    <mergeCell ref="C51:I51"/>
    <mergeCell ref="A27:A31"/>
    <mergeCell ref="A32:A36"/>
    <mergeCell ref="A40:A46"/>
    <mergeCell ref="A17:A18"/>
    <mergeCell ref="A19:A26"/>
    <mergeCell ref="A37:A39"/>
    <mergeCell ref="A60:A61"/>
    <mergeCell ref="B60:B61"/>
    <mergeCell ref="U90:X90"/>
    <mergeCell ref="C98:I98"/>
    <mergeCell ref="C190:I190"/>
    <mergeCell ref="T58:T60"/>
    <mergeCell ref="A174:F174"/>
    <mergeCell ref="A182:C182"/>
    <mergeCell ref="A183:C183"/>
    <mergeCell ref="A176:F176"/>
    <mergeCell ref="A175:F175"/>
    <mergeCell ref="A62:A69"/>
    <mergeCell ref="A70:A74"/>
    <mergeCell ref="A75:A79"/>
    <mergeCell ref="A129:A135"/>
    <mergeCell ref="A80:A82"/>
    <mergeCell ref="U55:Y55"/>
    <mergeCell ref="U56:Y56"/>
    <mergeCell ref="U57:Y57"/>
    <mergeCell ref="U58:W58"/>
    <mergeCell ref="X58:X60"/>
    <mergeCell ref="Y58:Y60"/>
    <mergeCell ref="P57:T57"/>
    <mergeCell ref="P56:T56"/>
    <mergeCell ref="P55:T55"/>
    <mergeCell ref="P90:S90"/>
    <mergeCell ref="D55:E55"/>
    <mergeCell ref="D56:E56"/>
    <mergeCell ref="F90:N90"/>
    <mergeCell ref="S58:S60"/>
    <mergeCell ref="P58:R58"/>
    <mergeCell ref="C196:I196"/>
    <mergeCell ref="C197:I197"/>
    <mergeCell ref="A136:F136"/>
    <mergeCell ref="C102:G102"/>
    <mergeCell ref="C103:G103"/>
    <mergeCell ref="C104:G104"/>
    <mergeCell ref="C195:I195"/>
    <mergeCell ref="D140:G140"/>
    <mergeCell ref="D139:G139"/>
    <mergeCell ref="D138:G138"/>
    <mergeCell ref="C105:C106"/>
    <mergeCell ref="D105:D106"/>
    <mergeCell ref="G105:G106"/>
    <mergeCell ref="F105:F106"/>
    <mergeCell ref="E105:E106"/>
    <mergeCell ref="A181:C181"/>
    <mergeCell ref="A16:E16"/>
    <mergeCell ref="A15:E15"/>
    <mergeCell ref="A14:E14"/>
    <mergeCell ref="A169:C169"/>
    <mergeCell ref="A168:C168"/>
    <mergeCell ref="A167:C167"/>
    <mergeCell ref="A145:D145"/>
    <mergeCell ref="A146:D146"/>
    <mergeCell ref="A147:D147"/>
    <mergeCell ref="A148:A149"/>
    <mergeCell ref="A106:A107"/>
    <mergeCell ref="B106:B107"/>
    <mergeCell ref="A108:A115"/>
    <mergeCell ref="A116:A120"/>
    <mergeCell ref="A121:A125"/>
    <mergeCell ref="A126:A128"/>
  </mergeCells>
  <phoneticPr fontId="3" type="noConversion"/>
  <pageMargins left="0.7" right="0.7" top="0.75" bottom="0.75" header="0.3" footer="0.3"/>
  <pageSetup paperSize="9" orientation="portrait" horizontalDpi="1200" verticalDpi="120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4">
    <tabColor theme="3" tint="-0.249977111117893"/>
  </sheetPr>
  <dimension ref="A1:BG306"/>
  <sheetViews>
    <sheetView showGridLines="0" zoomScaleNormal="100" workbookViewId="0">
      <pane xSplit="1" ySplit="1" topLeftCell="B2" activePane="bottomRight" state="frozen"/>
      <selection activeCell="J216" sqref="I216:J216"/>
      <selection pane="topRight" activeCell="J216" sqref="I216:J216"/>
      <selection pane="bottomLeft" activeCell="J216" sqref="I216:J216"/>
      <selection pane="bottomRight" activeCell="J216" sqref="A1:XFD1048576"/>
    </sheetView>
  </sheetViews>
  <sheetFormatPr baseColWidth="10" defaultColWidth="9.296875" defaultRowHeight="13" x14ac:dyDescent="0.3"/>
  <cols>
    <col min="1" max="1" width="77.69921875" style="143" customWidth="1"/>
    <col min="2" max="2" width="14.69921875" style="333" customWidth="1"/>
    <col min="3" max="3" width="27.19921875" style="333" customWidth="1"/>
    <col min="4" max="4" width="20" style="333" customWidth="1"/>
    <col min="5" max="5" width="14.796875" style="333" customWidth="1"/>
    <col min="6" max="6" width="23.69921875" style="333" customWidth="1"/>
    <col min="7" max="7" width="16.796875" style="74" customWidth="1"/>
    <col min="8" max="8" width="18" style="74" customWidth="1"/>
    <col min="9" max="9" width="12.796875" style="74" customWidth="1"/>
    <col min="10" max="10" width="19.19921875" style="74" customWidth="1"/>
    <col min="11" max="11" width="16.796875" style="74" customWidth="1"/>
    <col min="12" max="12" width="13.19921875" style="74" customWidth="1"/>
    <col min="13" max="13" width="17.69921875" style="74" customWidth="1"/>
    <col min="14" max="14" width="12.296875" style="74" customWidth="1"/>
    <col min="15" max="15" width="13.19921875" style="74" customWidth="1"/>
    <col min="16" max="16" width="15" style="68" customWidth="1"/>
    <col min="17" max="19" width="13.19921875" style="68" customWidth="1"/>
    <col min="20" max="43" width="15" style="68" customWidth="1"/>
    <col min="44" max="50" width="15" style="74" customWidth="1"/>
    <col min="51" max="51" width="9.796875" style="74" customWidth="1"/>
    <col min="52" max="52" width="13.296875" style="74" bestFit="1" customWidth="1"/>
    <col min="53" max="54" width="13.19921875" style="75" customWidth="1"/>
    <col min="55" max="16384" width="9.296875" style="9"/>
  </cols>
  <sheetData>
    <row r="1" spans="1:59" s="199" customFormat="1" ht="28" customHeight="1" x14ac:dyDescent="0.4">
      <c r="A1" s="198" t="s">
        <v>443</v>
      </c>
      <c r="B1" s="322"/>
      <c r="C1" s="322"/>
      <c r="D1" s="322"/>
      <c r="E1" s="322"/>
      <c r="F1" s="322"/>
    </row>
    <row r="2" spans="1:59" s="203" customFormat="1" ht="27" customHeight="1" x14ac:dyDescent="0.4">
      <c r="A2" s="357" t="s">
        <v>599</v>
      </c>
      <c r="B2" s="323"/>
      <c r="C2" s="323"/>
      <c r="D2" s="323"/>
      <c r="E2" s="323"/>
      <c r="F2" s="323"/>
      <c r="G2" s="200"/>
      <c r="H2" s="201"/>
      <c r="I2" s="201"/>
      <c r="J2" s="201"/>
      <c r="K2" s="201"/>
      <c r="L2" s="201"/>
      <c r="M2" s="201"/>
      <c r="N2" s="201"/>
      <c r="O2" s="201"/>
      <c r="P2" s="201"/>
      <c r="Q2" s="201"/>
      <c r="R2" s="201"/>
      <c r="S2" s="201"/>
      <c r="T2" s="201"/>
      <c r="U2" s="201"/>
      <c r="V2" s="201"/>
      <c r="W2" s="201"/>
      <c r="X2" s="201"/>
      <c r="Y2" s="201"/>
      <c r="Z2" s="201"/>
      <c r="AA2" s="201"/>
      <c r="AB2" s="201"/>
      <c r="AC2" s="201"/>
      <c r="AD2" s="201"/>
      <c r="AE2" s="201"/>
      <c r="AF2" s="201"/>
      <c r="AG2" s="201"/>
      <c r="AH2" s="201"/>
      <c r="AI2" s="201"/>
      <c r="AJ2" s="201"/>
      <c r="AK2" s="201"/>
      <c r="AL2" s="201"/>
      <c r="AM2" s="201"/>
      <c r="AN2" s="201"/>
      <c r="AO2" s="201"/>
      <c r="AP2" s="201"/>
      <c r="AQ2" s="201"/>
      <c r="AR2" s="201"/>
      <c r="AS2" s="201"/>
      <c r="AT2" s="201"/>
      <c r="AU2" s="201"/>
      <c r="AV2" s="201"/>
      <c r="AW2" s="201"/>
      <c r="AX2" s="201"/>
      <c r="AY2" s="201"/>
      <c r="AZ2" s="201"/>
      <c r="BA2" s="202"/>
      <c r="BB2" s="202"/>
    </row>
    <row r="3" spans="1:59" s="1" customFormat="1" ht="17.5" x14ac:dyDescent="0.35">
      <c r="A3" s="339" t="s">
        <v>590</v>
      </c>
      <c r="B3" s="325"/>
      <c r="C3" s="325"/>
      <c r="D3" s="325"/>
      <c r="E3" s="325"/>
      <c r="F3" s="325"/>
      <c r="G3" s="315"/>
      <c r="H3" s="315"/>
      <c r="I3" s="315"/>
      <c r="J3" s="315"/>
      <c r="K3" s="315"/>
      <c r="L3" s="315"/>
      <c r="M3" s="315"/>
      <c r="N3" s="315"/>
      <c r="O3" s="315"/>
      <c r="P3" s="315"/>
      <c r="Q3" s="315"/>
      <c r="R3" s="315"/>
      <c r="S3" s="315"/>
      <c r="T3" s="315"/>
      <c r="U3" s="315"/>
      <c r="V3" s="315"/>
      <c r="W3" s="315"/>
      <c r="X3" s="315"/>
      <c r="Y3" s="315"/>
      <c r="Z3" s="315"/>
      <c r="AA3" s="315"/>
      <c r="AB3" s="315"/>
      <c r="AC3" s="315"/>
      <c r="AD3" s="315"/>
      <c r="AE3" s="315"/>
      <c r="AF3" s="315"/>
      <c r="AG3" s="315"/>
      <c r="AH3" s="315"/>
      <c r="AI3" s="315"/>
      <c r="AJ3" s="315"/>
      <c r="AK3" s="315"/>
      <c r="AL3" s="315"/>
      <c r="AM3" s="315"/>
      <c r="AN3" s="315"/>
      <c r="AO3" s="315"/>
      <c r="AP3" s="315"/>
      <c r="AQ3" s="315"/>
      <c r="AR3" s="340"/>
      <c r="AS3" s="340"/>
      <c r="AT3" s="340"/>
      <c r="AU3" s="340"/>
      <c r="AV3" s="340"/>
      <c r="AW3" s="340"/>
      <c r="AX3" s="340"/>
      <c r="AY3" s="340"/>
      <c r="AZ3" s="340"/>
      <c r="BA3" s="341"/>
      <c r="BB3" s="341"/>
      <c r="BC3" s="342"/>
      <c r="BD3" s="342"/>
      <c r="BE3" s="342"/>
      <c r="BF3" s="342"/>
      <c r="BG3" s="342"/>
    </row>
    <row r="4" spans="1:59" s="1" customFormat="1" ht="16" thickBot="1" x14ac:dyDescent="0.4">
      <c r="A4" s="327"/>
      <c r="B4" s="325"/>
      <c r="C4" s="325"/>
      <c r="D4" s="325"/>
      <c r="E4" s="325"/>
      <c r="F4" s="325"/>
      <c r="G4" s="315"/>
      <c r="H4" s="315"/>
      <c r="I4" s="315"/>
      <c r="J4" s="315"/>
      <c r="K4" s="315"/>
      <c r="L4" s="315"/>
      <c r="M4" s="315"/>
      <c r="N4" s="315"/>
      <c r="O4" s="315"/>
      <c r="P4" s="315"/>
      <c r="Q4" s="315"/>
      <c r="R4" s="315"/>
      <c r="S4" s="315"/>
      <c r="T4" s="315"/>
      <c r="U4" s="315"/>
      <c r="V4" s="315"/>
      <c r="W4" s="315"/>
      <c r="X4" s="315"/>
      <c r="Y4" s="315"/>
      <c r="Z4" s="315"/>
      <c r="AA4" s="315"/>
      <c r="AB4" s="315"/>
      <c r="AC4" s="315"/>
      <c r="AD4" s="315"/>
      <c r="AE4" s="315"/>
      <c r="AF4" s="315"/>
      <c r="AG4" s="315"/>
      <c r="AH4" s="315"/>
      <c r="AI4" s="315"/>
      <c r="AJ4" s="315"/>
      <c r="AK4" s="315"/>
      <c r="AL4" s="315"/>
      <c r="AM4" s="315"/>
      <c r="AN4" s="315"/>
      <c r="AO4" s="315"/>
      <c r="AP4" s="315"/>
      <c r="AQ4" s="315"/>
      <c r="AR4" s="340"/>
      <c r="AS4" s="340"/>
      <c r="AT4" s="340"/>
      <c r="AU4" s="340"/>
      <c r="AV4" s="340"/>
      <c r="AW4" s="340"/>
      <c r="AX4" s="340"/>
      <c r="AY4" s="340"/>
      <c r="AZ4" s="340"/>
      <c r="BA4" s="341"/>
      <c r="BB4" s="341"/>
      <c r="BC4" s="342"/>
      <c r="BD4" s="342"/>
      <c r="BE4" s="342"/>
      <c r="BF4" s="342"/>
      <c r="BG4" s="342"/>
    </row>
    <row r="5" spans="1:59" s="1" customFormat="1" ht="45" x14ac:dyDescent="0.35">
      <c r="A5" s="324"/>
      <c r="B5" s="343" t="s">
        <v>121</v>
      </c>
      <c r="C5" s="344" t="s">
        <v>136</v>
      </c>
      <c r="D5" s="344" t="s">
        <v>591</v>
      </c>
      <c r="E5" s="344" t="s">
        <v>598</v>
      </c>
      <c r="F5" s="344" t="s">
        <v>592</v>
      </c>
      <c r="G5" s="344" t="s">
        <v>593</v>
      </c>
      <c r="H5" s="345" t="s">
        <v>594</v>
      </c>
      <c r="I5" s="315"/>
      <c r="J5" s="315"/>
      <c r="K5" s="315"/>
      <c r="L5" s="315"/>
      <c r="M5" s="315"/>
      <c r="N5" s="315"/>
      <c r="O5" s="315"/>
      <c r="P5" s="315"/>
      <c r="Q5" s="315"/>
      <c r="R5" s="315"/>
      <c r="S5" s="315"/>
      <c r="T5" s="315"/>
      <c r="U5" s="315"/>
      <c r="V5" s="315"/>
      <c r="W5" s="315"/>
      <c r="X5" s="315"/>
      <c r="Y5" s="315"/>
      <c r="Z5" s="315"/>
      <c r="AA5" s="315"/>
      <c r="AB5" s="315"/>
      <c r="AC5" s="315"/>
      <c r="AD5" s="315"/>
      <c r="AE5" s="315"/>
      <c r="AF5" s="315"/>
      <c r="AG5" s="315"/>
      <c r="AH5" s="315"/>
      <c r="AI5" s="315"/>
      <c r="AJ5" s="315"/>
      <c r="AK5" s="315"/>
      <c r="AL5" s="315"/>
      <c r="AM5" s="315"/>
      <c r="AN5" s="315"/>
      <c r="AO5" s="315"/>
      <c r="AP5" s="315"/>
      <c r="AQ5" s="315"/>
      <c r="AR5" s="340"/>
      <c r="AS5" s="340"/>
      <c r="AT5" s="340"/>
      <c r="AU5" s="340"/>
      <c r="AV5" s="340"/>
      <c r="AW5" s="340"/>
      <c r="AX5" s="340"/>
      <c r="AY5" s="340"/>
      <c r="AZ5" s="340"/>
      <c r="BA5" s="341"/>
      <c r="BB5" s="341"/>
      <c r="BC5" s="342"/>
      <c r="BD5" s="342"/>
      <c r="BE5" s="342"/>
      <c r="BF5" s="342"/>
      <c r="BG5" s="342"/>
    </row>
    <row r="6" spans="1:59" s="328" customFormat="1" ht="22" customHeight="1" thickBot="1" x14ac:dyDescent="0.35">
      <c r="A6" s="346"/>
      <c r="B6" s="352">
        <f>B24*B21</f>
        <v>5848.9</v>
      </c>
      <c r="C6" s="353">
        <f>B12*365</f>
        <v>21.9</v>
      </c>
      <c r="D6" s="353">
        <f>B18</f>
        <v>4227.18</v>
      </c>
      <c r="E6" s="353">
        <f>D6*B10</f>
        <v>31703.850000000002</v>
      </c>
      <c r="F6" s="354">
        <f>B15</f>
        <v>0.36</v>
      </c>
      <c r="G6" s="355">
        <f>(((B6*C6)-E6)*F6)/1000</f>
        <v>34.69934159999999</v>
      </c>
      <c r="H6" s="356">
        <f>G6*PRPCH4</f>
        <v>867.48353999999972</v>
      </c>
      <c r="I6" s="320"/>
      <c r="J6" s="320"/>
      <c r="K6" s="320"/>
      <c r="L6" s="320"/>
      <c r="M6" s="320"/>
      <c r="N6" s="320"/>
      <c r="O6" s="320"/>
      <c r="P6" s="320"/>
      <c r="Q6" s="320"/>
      <c r="R6" s="320"/>
      <c r="S6" s="320"/>
      <c r="T6" s="320"/>
      <c r="U6" s="320"/>
      <c r="V6" s="320"/>
      <c r="W6" s="320"/>
      <c r="X6" s="320"/>
      <c r="Y6" s="320"/>
      <c r="Z6" s="320"/>
      <c r="AA6" s="320"/>
      <c r="AB6" s="320"/>
      <c r="AC6" s="320"/>
      <c r="AD6" s="320"/>
      <c r="AE6" s="320"/>
      <c r="AF6" s="320"/>
      <c r="AG6" s="320"/>
      <c r="AH6" s="320"/>
      <c r="AI6" s="320"/>
      <c r="AJ6" s="320"/>
      <c r="AK6" s="320"/>
      <c r="AL6" s="320"/>
      <c r="AM6" s="320"/>
      <c r="AN6" s="320"/>
      <c r="AO6" s="320"/>
      <c r="AP6" s="320"/>
      <c r="AQ6" s="320"/>
      <c r="AR6" s="347"/>
      <c r="AS6" s="347"/>
      <c r="AT6" s="347"/>
      <c r="AU6" s="347"/>
      <c r="AV6" s="347"/>
      <c r="AW6" s="347"/>
      <c r="AX6" s="347"/>
      <c r="AY6" s="347"/>
      <c r="AZ6" s="347"/>
      <c r="BA6" s="348"/>
      <c r="BB6" s="348"/>
      <c r="BC6" s="349"/>
      <c r="BD6" s="349"/>
      <c r="BE6" s="349"/>
      <c r="BF6" s="349"/>
      <c r="BG6" s="349"/>
    </row>
    <row r="7" spans="1:59" s="1" customFormat="1" ht="15.5" x14ac:dyDescent="0.35">
      <c r="A7" s="337"/>
      <c r="B7" s="325"/>
      <c r="C7" s="325"/>
      <c r="D7" s="325"/>
      <c r="E7" s="325"/>
      <c r="F7" s="325"/>
      <c r="G7" s="315"/>
      <c r="H7" s="315"/>
      <c r="I7" s="315"/>
      <c r="J7" s="315"/>
      <c r="K7" s="315"/>
      <c r="L7" s="315"/>
      <c r="M7" s="315"/>
      <c r="N7" s="315"/>
      <c r="O7" s="315"/>
      <c r="P7" s="315"/>
      <c r="Q7" s="315"/>
      <c r="R7" s="315"/>
      <c r="S7" s="315"/>
      <c r="T7" s="315"/>
      <c r="U7" s="315"/>
      <c r="V7" s="315"/>
      <c r="W7" s="315"/>
      <c r="X7" s="315"/>
      <c r="Y7" s="315"/>
      <c r="Z7" s="315"/>
      <c r="AA7" s="315"/>
      <c r="AB7" s="315"/>
      <c r="AC7" s="315"/>
      <c r="AD7" s="315"/>
      <c r="AE7" s="315"/>
      <c r="AF7" s="315"/>
      <c r="AG7" s="315"/>
      <c r="AH7" s="315"/>
      <c r="AI7" s="315"/>
      <c r="AJ7" s="315"/>
      <c r="AK7" s="315"/>
      <c r="AL7" s="315"/>
      <c r="AM7" s="315"/>
      <c r="AN7" s="315"/>
      <c r="AO7" s="315"/>
      <c r="AP7" s="315"/>
      <c r="AQ7" s="315"/>
      <c r="AR7" s="340"/>
      <c r="AS7" s="340"/>
      <c r="AT7" s="340"/>
      <c r="AU7" s="340"/>
      <c r="AV7" s="340"/>
      <c r="AW7" s="340"/>
      <c r="AX7" s="340"/>
      <c r="AY7" s="340"/>
      <c r="AZ7" s="340"/>
      <c r="BA7" s="341"/>
      <c r="BB7" s="341"/>
      <c r="BC7" s="342"/>
      <c r="BD7" s="342"/>
      <c r="BE7" s="342"/>
      <c r="BF7" s="342"/>
      <c r="BG7" s="342"/>
    </row>
    <row r="8" spans="1:59" s="1" customFormat="1" ht="15.5" x14ac:dyDescent="0.35">
      <c r="A8" s="324" t="s">
        <v>122</v>
      </c>
      <c r="B8" s="325"/>
      <c r="C8" s="325"/>
      <c r="D8" s="325"/>
      <c r="E8" s="325"/>
      <c r="F8" s="325"/>
      <c r="G8" s="315"/>
      <c r="H8" s="315"/>
      <c r="I8" s="315"/>
      <c r="J8" s="315"/>
      <c r="K8" s="315"/>
      <c r="L8" s="315"/>
      <c r="M8" s="315"/>
      <c r="N8" s="315"/>
      <c r="O8" s="315"/>
      <c r="P8" s="315"/>
      <c r="Q8" s="315"/>
      <c r="R8" s="315"/>
      <c r="S8" s="315"/>
      <c r="T8" s="315"/>
      <c r="U8" s="315"/>
      <c r="V8" s="315"/>
      <c r="W8" s="315"/>
      <c r="X8" s="315"/>
      <c r="Y8" s="315"/>
      <c r="Z8" s="315"/>
      <c r="AA8" s="315"/>
      <c r="AB8" s="315"/>
      <c r="AC8" s="315"/>
      <c r="AD8" s="315"/>
      <c r="AE8" s="315"/>
      <c r="AF8" s="315"/>
      <c r="AG8" s="315"/>
      <c r="AH8" s="315"/>
      <c r="AI8" s="315"/>
      <c r="AJ8" s="315"/>
      <c r="AK8" s="315"/>
      <c r="AL8" s="315"/>
      <c r="AM8" s="315"/>
      <c r="AN8" s="315"/>
      <c r="AO8" s="315"/>
      <c r="AP8" s="315"/>
      <c r="AQ8" s="315"/>
      <c r="AR8" s="340"/>
      <c r="AS8" s="340"/>
      <c r="AT8" s="340"/>
      <c r="AU8" s="340"/>
      <c r="AV8" s="340"/>
      <c r="AW8" s="340"/>
      <c r="AX8" s="340"/>
      <c r="AY8" s="340"/>
      <c r="AZ8" s="340"/>
      <c r="BA8" s="341"/>
      <c r="BB8" s="341"/>
      <c r="BC8" s="342"/>
      <c r="BD8" s="342"/>
      <c r="BE8" s="342"/>
      <c r="BF8" s="342"/>
      <c r="BG8" s="342"/>
    </row>
    <row r="9" spans="1:59" s="1" customFormat="1" ht="28" customHeight="1" x14ac:dyDescent="0.35">
      <c r="A9" s="324" t="s">
        <v>578</v>
      </c>
      <c r="B9" s="325"/>
      <c r="C9" s="325"/>
      <c r="D9" s="325"/>
      <c r="E9" s="325"/>
      <c r="F9" s="325"/>
      <c r="G9" s="315"/>
      <c r="H9" s="315"/>
      <c r="I9" s="315"/>
      <c r="J9" s="315"/>
      <c r="K9" s="315"/>
      <c r="L9" s="315"/>
      <c r="M9" s="315"/>
      <c r="N9" s="315"/>
      <c r="O9" s="315"/>
      <c r="P9" s="315"/>
      <c r="Q9" s="315"/>
      <c r="R9" s="315"/>
      <c r="S9" s="315"/>
      <c r="T9" s="315"/>
      <c r="U9" s="315"/>
      <c r="V9" s="315"/>
      <c r="W9" s="315"/>
      <c r="X9" s="315"/>
      <c r="Y9" s="315"/>
      <c r="Z9" s="315"/>
      <c r="AA9" s="315"/>
      <c r="AB9" s="315"/>
      <c r="AC9" s="315"/>
      <c r="AD9" s="315"/>
      <c r="AE9" s="315"/>
      <c r="AF9" s="315"/>
      <c r="AG9" s="315"/>
      <c r="AH9" s="315"/>
      <c r="AI9" s="315"/>
      <c r="AJ9" s="315"/>
      <c r="AK9" s="315"/>
      <c r="AL9" s="315"/>
      <c r="AM9" s="315"/>
      <c r="AN9" s="315"/>
      <c r="AO9" s="315"/>
      <c r="AP9" s="315"/>
      <c r="AQ9" s="315"/>
      <c r="AR9" s="340"/>
      <c r="AS9" s="340"/>
      <c r="AT9" s="340"/>
      <c r="AU9" s="340"/>
      <c r="AV9" s="340"/>
      <c r="AW9" s="340"/>
      <c r="AX9" s="340"/>
      <c r="AY9" s="340"/>
      <c r="AZ9" s="340"/>
      <c r="BA9" s="341"/>
      <c r="BB9" s="341"/>
      <c r="BC9" s="342"/>
      <c r="BD9" s="342"/>
      <c r="BE9" s="342"/>
      <c r="BF9" s="342"/>
      <c r="BG9" s="342"/>
    </row>
    <row r="10" spans="1:59" s="1" customFormat="1" ht="26.15" customHeight="1" x14ac:dyDescent="0.35">
      <c r="A10" s="318" t="s">
        <v>595</v>
      </c>
      <c r="B10" s="336">
        <v>7.5</v>
      </c>
      <c r="C10" s="319" t="s">
        <v>589</v>
      </c>
      <c r="D10" s="320" t="s">
        <v>596</v>
      </c>
      <c r="E10" s="320"/>
      <c r="F10" s="320"/>
      <c r="G10" s="317"/>
      <c r="H10" s="315"/>
      <c r="I10" s="315"/>
      <c r="J10" s="315"/>
      <c r="K10" s="315"/>
      <c r="L10" s="315"/>
      <c r="M10" s="315"/>
      <c r="N10" s="315"/>
      <c r="O10" s="315"/>
      <c r="P10" s="315"/>
      <c r="Q10" s="315"/>
      <c r="R10" s="315"/>
      <c r="S10" s="315"/>
      <c r="T10" s="315"/>
      <c r="U10" s="315"/>
      <c r="V10" s="315"/>
      <c r="W10" s="315"/>
      <c r="X10" s="315"/>
      <c r="Y10" s="315"/>
      <c r="Z10" s="315"/>
      <c r="AA10" s="315"/>
      <c r="AB10" s="315"/>
      <c r="AC10" s="315"/>
      <c r="AD10" s="315"/>
      <c r="AE10" s="315"/>
      <c r="AF10" s="315"/>
      <c r="AG10" s="315"/>
      <c r="AH10" s="315"/>
      <c r="AI10" s="315"/>
      <c r="AJ10" s="315"/>
      <c r="AK10" s="315"/>
      <c r="AL10" s="315"/>
      <c r="AM10" s="315"/>
      <c r="AN10" s="315"/>
      <c r="AO10" s="315"/>
      <c r="AP10" s="315"/>
      <c r="AQ10" s="315"/>
      <c r="AR10" s="340"/>
      <c r="AS10" s="340"/>
      <c r="AT10" s="340"/>
      <c r="AU10" s="340"/>
      <c r="AV10" s="340"/>
      <c r="AW10" s="340"/>
      <c r="AX10" s="340"/>
      <c r="AY10" s="340"/>
      <c r="AZ10" s="340"/>
      <c r="BA10" s="341"/>
      <c r="BB10" s="341"/>
      <c r="BC10" s="342"/>
      <c r="BD10" s="342"/>
      <c r="BE10" s="342"/>
      <c r="BF10" s="342"/>
      <c r="BG10" s="342"/>
    </row>
    <row r="11" spans="1:59" s="1" customFormat="1" ht="26.15" customHeight="1" x14ac:dyDescent="0.35">
      <c r="A11" s="350" t="s">
        <v>597</v>
      </c>
      <c r="B11" s="320"/>
      <c r="C11" s="320"/>
      <c r="D11" s="338"/>
      <c r="E11" s="320"/>
      <c r="F11" s="320"/>
      <c r="G11" s="315"/>
      <c r="H11" s="315"/>
      <c r="I11" s="315"/>
      <c r="J11" s="315"/>
      <c r="K11" s="315"/>
      <c r="L11" s="315"/>
      <c r="M11" s="315"/>
      <c r="N11" s="315"/>
      <c r="O11" s="315"/>
      <c r="P11" s="315"/>
      <c r="Q11" s="315"/>
      <c r="R11" s="315"/>
      <c r="S11" s="315"/>
      <c r="T11" s="315"/>
      <c r="U11" s="315"/>
      <c r="V11" s="315"/>
      <c r="W11" s="315"/>
      <c r="X11" s="315"/>
      <c r="Y11" s="315"/>
      <c r="Z11" s="315"/>
      <c r="AA11" s="315"/>
      <c r="AB11" s="315"/>
      <c r="AC11" s="315"/>
      <c r="AD11" s="315"/>
      <c r="AE11" s="315"/>
      <c r="AF11" s="315"/>
      <c r="AG11" s="315"/>
      <c r="AH11" s="315"/>
      <c r="AI11" s="315"/>
      <c r="AJ11" s="315"/>
      <c r="AK11" s="315"/>
      <c r="AL11" s="315"/>
      <c r="AM11" s="315"/>
      <c r="AN11" s="315"/>
      <c r="AO11" s="315"/>
      <c r="AP11" s="315"/>
      <c r="AQ11" s="315"/>
      <c r="AR11" s="340"/>
      <c r="AS11" s="340"/>
      <c r="AT11" s="340"/>
      <c r="AU11" s="340"/>
      <c r="AV11" s="340"/>
      <c r="AW11" s="340"/>
      <c r="AX11" s="340"/>
      <c r="AY11" s="340"/>
      <c r="AZ11" s="340"/>
      <c r="BA11" s="341"/>
      <c r="BB11" s="341"/>
      <c r="BC11" s="342"/>
      <c r="BD11" s="342"/>
      <c r="BE11" s="342"/>
      <c r="BF11" s="342"/>
      <c r="BG11" s="342"/>
    </row>
    <row r="12" spans="1:59" s="1" customFormat="1" ht="24" customHeight="1" x14ac:dyDescent="0.35">
      <c r="A12" s="318" t="s">
        <v>584</v>
      </c>
      <c r="B12" s="335">
        <v>0.06</v>
      </c>
      <c r="C12" s="319" t="s">
        <v>585</v>
      </c>
      <c r="D12" s="320"/>
      <c r="E12" s="320"/>
      <c r="F12" s="320"/>
      <c r="G12" s="315"/>
      <c r="H12" s="315"/>
      <c r="I12" s="315"/>
      <c r="J12" s="315"/>
      <c r="K12" s="315"/>
      <c r="L12" s="315"/>
      <c r="M12" s="315"/>
      <c r="N12" s="315"/>
      <c r="O12" s="315"/>
      <c r="P12" s="315"/>
      <c r="Q12" s="315"/>
      <c r="R12" s="315"/>
      <c r="S12" s="315"/>
      <c r="T12" s="315"/>
      <c r="U12" s="315"/>
      <c r="V12" s="315"/>
      <c r="W12" s="315"/>
      <c r="X12" s="315"/>
      <c r="Y12" s="315"/>
      <c r="Z12" s="315"/>
      <c r="AA12" s="315"/>
      <c r="AB12" s="315"/>
      <c r="AC12" s="315"/>
      <c r="AD12" s="315"/>
      <c r="AE12" s="315"/>
      <c r="AF12" s="315"/>
      <c r="AG12" s="315"/>
      <c r="AH12" s="315"/>
      <c r="AI12" s="315"/>
      <c r="AJ12" s="315"/>
      <c r="AK12" s="315"/>
      <c r="AL12" s="315"/>
      <c r="AM12" s="315"/>
      <c r="AN12" s="315"/>
      <c r="AO12" s="315"/>
      <c r="AP12" s="315"/>
      <c r="AQ12" s="315"/>
      <c r="AR12" s="340"/>
      <c r="AS12" s="340"/>
      <c r="AT12" s="340"/>
      <c r="AU12" s="340"/>
      <c r="AV12" s="340"/>
      <c r="AW12" s="340"/>
      <c r="AX12" s="340"/>
      <c r="AY12" s="340"/>
      <c r="AZ12" s="340"/>
      <c r="BA12" s="341"/>
      <c r="BB12" s="341"/>
      <c r="BC12" s="342"/>
      <c r="BD12" s="342"/>
      <c r="BE12" s="342"/>
      <c r="BF12" s="342"/>
      <c r="BG12" s="342"/>
    </row>
    <row r="13" spans="1:59" s="1" customFormat="1" ht="24" customHeight="1" x14ac:dyDescent="0.35">
      <c r="A13" s="326" t="s">
        <v>579</v>
      </c>
      <c r="B13" s="334"/>
      <c r="C13" s="325"/>
      <c r="D13" s="320"/>
      <c r="E13" s="320"/>
      <c r="F13" s="320"/>
      <c r="G13" s="315"/>
      <c r="H13" s="315"/>
      <c r="I13" s="315"/>
      <c r="J13" s="315"/>
      <c r="K13" s="315"/>
      <c r="L13" s="315"/>
      <c r="M13" s="315"/>
      <c r="N13" s="315"/>
      <c r="O13" s="315"/>
      <c r="P13" s="315"/>
      <c r="Q13" s="315"/>
      <c r="R13" s="315"/>
      <c r="S13" s="315"/>
      <c r="T13" s="315"/>
      <c r="U13" s="315"/>
      <c r="V13" s="315"/>
      <c r="W13" s="315"/>
      <c r="X13" s="315"/>
      <c r="Y13" s="315"/>
      <c r="Z13" s="315"/>
      <c r="AA13" s="315"/>
      <c r="AB13" s="315"/>
      <c r="AC13" s="315"/>
      <c r="AD13" s="315"/>
      <c r="AE13" s="315"/>
      <c r="AF13" s="315"/>
      <c r="AG13" s="315"/>
      <c r="AH13" s="315"/>
      <c r="AI13" s="315"/>
      <c r="AJ13" s="315"/>
      <c r="AK13" s="315"/>
      <c r="AL13" s="315"/>
      <c r="AM13" s="315"/>
      <c r="AN13" s="315"/>
      <c r="AO13" s="315"/>
      <c r="AP13" s="315"/>
      <c r="AQ13" s="315"/>
      <c r="AR13" s="340"/>
      <c r="AS13" s="340"/>
      <c r="AT13" s="340"/>
      <c r="AU13" s="340"/>
      <c r="AV13" s="340"/>
      <c r="AW13" s="340"/>
      <c r="AX13" s="340"/>
      <c r="AY13" s="340"/>
      <c r="AZ13" s="340"/>
      <c r="BA13" s="341"/>
      <c r="BB13" s="341"/>
      <c r="BC13" s="342"/>
      <c r="BD13" s="342"/>
      <c r="BE13" s="342"/>
      <c r="BF13" s="342"/>
      <c r="BG13" s="342"/>
    </row>
    <row r="14" spans="1:59" s="1" customFormat="1" ht="15.5" x14ac:dyDescent="0.35">
      <c r="A14" s="327"/>
      <c r="B14" s="320"/>
      <c r="C14" s="320"/>
      <c r="D14" s="320"/>
      <c r="E14" s="320"/>
      <c r="F14" s="320"/>
      <c r="G14" s="315"/>
      <c r="H14" s="315"/>
      <c r="I14" s="315"/>
      <c r="J14" s="315"/>
      <c r="K14" s="315"/>
      <c r="L14" s="315"/>
      <c r="M14" s="315"/>
      <c r="N14" s="315"/>
      <c r="O14" s="315"/>
      <c r="P14" s="315"/>
      <c r="Q14" s="315"/>
      <c r="R14" s="315"/>
      <c r="S14" s="315"/>
      <c r="T14" s="315"/>
      <c r="U14" s="315"/>
      <c r="V14" s="315"/>
      <c r="W14" s="315"/>
      <c r="X14" s="315"/>
      <c r="Y14" s="315"/>
      <c r="Z14" s="315"/>
      <c r="AA14" s="315"/>
      <c r="AB14" s="315"/>
      <c r="AC14" s="315"/>
      <c r="AD14" s="315"/>
      <c r="AE14" s="315"/>
      <c r="AF14" s="315"/>
      <c r="AG14" s="315"/>
      <c r="AH14" s="315"/>
      <c r="AI14" s="315"/>
      <c r="AJ14" s="315"/>
      <c r="AK14" s="315"/>
      <c r="AL14" s="315"/>
      <c r="AM14" s="315"/>
      <c r="AN14" s="315"/>
      <c r="AO14" s="315"/>
      <c r="AP14" s="315"/>
      <c r="AQ14" s="315"/>
      <c r="AR14" s="340"/>
      <c r="AS14" s="340"/>
      <c r="AT14" s="340"/>
      <c r="AU14" s="340"/>
      <c r="AV14" s="340"/>
      <c r="AW14" s="340"/>
      <c r="AX14" s="340"/>
      <c r="AY14" s="340"/>
      <c r="AZ14" s="340"/>
      <c r="BA14" s="341"/>
      <c r="BB14" s="341"/>
      <c r="BC14" s="342"/>
      <c r="BD14" s="342"/>
      <c r="BE14" s="342"/>
      <c r="BF14" s="342"/>
      <c r="BG14" s="342"/>
    </row>
    <row r="15" spans="1:59" s="1" customFormat="1" ht="28" customHeight="1" x14ac:dyDescent="0.35">
      <c r="A15" s="318" t="s">
        <v>582</v>
      </c>
      <c r="B15" s="335">
        <v>0.36</v>
      </c>
      <c r="C15" s="319" t="s">
        <v>583</v>
      </c>
      <c r="D15" s="325"/>
      <c r="E15" s="325"/>
      <c r="F15" s="325"/>
      <c r="G15" s="315"/>
      <c r="H15" s="315"/>
      <c r="I15" s="315"/>
      <c r="J15" s="315"/>
      <c r="K15" s="315"/>
      <c r="L15" s="315"/>
      <c r="M15" s="315"/>
      <c r="N15" s="315"/>
      <c r="O15" s="315"/>
      <c r="P15" s="315"/>
      <c r="Q15" s="315"/>
      <c r="R15" s="315"/>
      <c r="S15" s="315"/>
      <c r="T15" s="315"/>
      <c r="U15" s="315"/>
      <c r="V15" s="315"/>
      <c r="W15" s="315"/>
      <c r="X15" s="315"/>
      <c r="Y15" s="315"/>
      <c r="Z15" s="315"/>
      <c r="AA15" s="315"/>
      <c r="AB15" s="315"/>
      <c r="AC15" s="315"/>
      <c r="AD15" s="315"/>
      <c r="AE15" s="315"/>
      <c r="AF15" s="315"/>
      <c r="AG15" s="315"/>
      <c r="AH15" s="315"/>
      <c r="AI15" s="315"/>
      <c r="AJ15" s="315"/>
      <c r="AK15" s="315"/>
      <c r="AL15" s="315"/>
      <c r="AM15" s="315"/>
      <c r="AN15" s="315"/>
      <c r="AO15" s="315"/>
      <c r="AP15" s="315"/>
      <c r="AQ15" s="315"/>
      <c r="AR15" s="340"/>
      <c r="AS15" s="340"/>
      <c r="AT15" s="340"/>
      <c r="AU15" s="340"/>
      <c r="AV15" s="340"/>
      <c r="AW15" s="340"/>
      <c r="AX15" s="340"/>
      <c r="AY15" s="340"/>
      <c r="AZ15" s="340"/>
      <c r="BA15" s="341"/>
      <c r="BB15" s="341"/>
      <c r="BC15" s="342"/>
      <c r="BD15" s="342"/>
      <c r="BE15" s="342"/>
      <c r="BF15" s="342"/>
      <c r="BG15" s="342"/>
    </row>
    <row r="16" spans="1:59" s="1" customFormat="1" ht="15.5" x14ac:dyDescent="0.35">
      <c r="A16" s="326" t="s">
        <v>579</v>
      </c>
      <c r="B16" s="320"/>
      <c r="C16" s="320"/>
      <c r="D16" s="320"/>
      <c r="E16" s="320"/>
      <c r="F16" s="320"/>
      <c r="G16" s="315"/>
      <c r="H16" s="315"/>
      <c r="I16" s="315"/>
      <c r="J16" s="315"/>
      <c r="K16" s="315"/>
      <c r="L16" s="315"/>
      <c r="M16" s="315"/>
      <c r="N16" s="315"/>
      <c r="O16" s="315"/>
      <c r="P16" s="315"/>
      <c r="Q16" s="315"/>
      <c r="R16" s="315"/>
      <c r="S16" s="315"/>
      <c r="T16" s="315"/>
      <c r="U16" s="315"/>
      <c r="V16" s="315"/>
      <c r="W16" s="315"/>
      <c r="X16" s="315"/>
      <c r="Y16" s="315"/>
      <c r="Z16" s="315"/>
      <c r="AA16" s="315"/>
      <c r="AB16" s="315"/>
      <c r="AC16" s="315"/>
      <c r="AD16" s="315"/>
      <c r="AE16" s="315"/>
      <c r="AF16" s="315"/>
      <c r="AG16" s="315"/>
      <c r="AH16" s="315"/>
      <c r="AI16" s="315"/>
      <c r="AJ16" s="315"/>
      <c r="AK16" s="315"/>
      <c r="AL16" s="315"/>
      <c r="AM16" s="315"/>
      <c r="AN16" s="315"/>
      <c r="AO16" s="315"/>
      <c r="AP16" s="315"/>
      <c r="AQ16" s="315"/>
      <c r="AR16" s="340"/>
      <c r="AS16" s="340"/>
      <c r="AT16" s="340"/>
      <c r="AU16" s="340"/>
      <c r="AV16" s="340"/>
      <c r="AW16" s="340"/>
      <c r="AX16" s="340"/>
      <c r="AY16" s="340"/>
      <c r="AZ16" s="340"/>
      <c r="BA16" s="341"/>
      <c r="BB16" s="341"/>
      <c r="BC16" s="342"/>
      <c r="BD16" s="342"/>
      <c r="BE16" s="342"/>
      <c r="BF16" s="342"/>
      <c r="BG16" s="342"/>
    </row>
    <row r="17" spans="1:59" s="1" customFormat="1" ht="15.5" x14ac:dyDescent="0.35">
      <c r="A17" s="328"/>
      <c r="B17" s="329"/>
      <c r="C17" s="329"/>
      <c r="D17" s="329"/>
      <c r="E17" s="329"/>
      <c r="F17" s="329"/>
      <c r="G17" s="316"/>
      <c r="H17" s="316"/>
      <c r="I17" s="316"/>
      <c r="J17" s="316"/>
      <c r="K17" s="316"/>
      <c r="L17" s="316"/>
      <c r="M17" s="316"/>
      <c r="N17" s="316"/>
      <c r="O17" s="316"/>
      <c r="P17" s="315"/>
      <c r="Q17" s="315"/>
      <c r="R17" s="315"/>
      <c r="S17" s="315"/>
      <c r="T17" s="315"/>
      <c r="U17" s="315"/>
      <c r="V17" s="315"/>
      <c r="W17" s="315"/>
      <c r="X17" s="315"/>
      <c r="Y17" s="315"/>
      <c r="Z17" s="315"/>
      <c r="AA17" s="315"/>
      <c r="AB17" s="315"/>
      <c r="AC17" s="315"/>
      <c r="AD17" s="315"/>
      <c r="AE17" s="315"/>
      <c r="AF17" s="315"/>
      <c r="AG17" s="315"/>
      <c r="AH17" s="315"/>
      <c r="AI17" s="315"/>
      <c r="AJ17" s="315"/>
      <c r="AK17" s="315"/>
      <c r="AL17" s="315"/>
      <c r="AM17" s="315"/>
      <c r="AN17" s="315"/>
      <c r="AO17" s="315"/>
      <c r="AP17" s="315"/>
      <c r="AQ17" s="315"/>
      <c r="AR17" s="316"/>
      <c r="AS17" s="316"/>
      <c r="AT17" s="316"/>
      <c r="AU17" s="316"/>
      <c r="AV17" s="316"/>
      <c r="AW17" s="316"/>
      <c r="AX17" s="316"/>
      <c r="AY17" s="316"/>
      <c r="AZ17" s="316"/>
      <c r="BA17" s="351"/>
      <c r="BB17" s="351"/>
    </row>
    <row r="18" spans="1:59" s="1" customFormat="1" ht="26.15" customHeight="1" x14ac:dyDescent="0.35">
      <c r="A18" s="61" t="s">
        <v>580</v>
      </c>
      <c r="B18" s="319">
        <v>4227.18</v>
      </c>
      <c r="C18" s="330" t="s">
        <v>581</v>
      </c>
      <c r="D18" s="320"/>
      <c r="E18" s="320"/>
      <c r="F18" s="320"/>
      <c r="G18" s="315"/>
      <c r="H18" s="315"/>
      <c r="I18" s="315"/>
      <c r="J18" s="315"/>
      <c r="K18" s="315"/>
      <c r="L18" s="315"/>
      <c r="M18" s="315"/>
      <c r="N18" s="315"/>
      <c r="O18" s="315"/>
      <c r="P18" s="315"/>
      <c r="Q18" s="315"/>
      <c r="R18" s="315"/>
      <c r="S18" s="315"/>
      <c r="T18" s="315"/>
      <c r="U18" s="315"/>
      <c r="V18" s="315"/>
      <c r="W18" s="315"/>
      <c r="X18" s="315"/>
      <c r="Y18" s="315"/>
      <c r="Z18" s="315"/>
      <c r="AA18" s="315"/>
      <c r="AB18" s="315"/>
      <c r="AC18" s="315"/>
      <c r="AD18" s="315"/>
      <c r="AE18" s="315"/>
      <c r="AF18" s="315"/>
      <c r="AG18" s="315"/>
      <c r="AH18" s="315"/>
      <c r="AI18" s="315"/>
      <c r="AJ18" s="315"/>
      <c r="AK18" s="315"/>
      <c r="AL18" s="315"/>
      <c r="AM18" s="315"/>
      <c r="AN18" s="315"/>
      <c r="AO18" s="315"/>
      <c r="AP18" s="315"/>
      <c r="AQ18" s="315"/>
      <c r="AR18" s="340"/>
      <c r="AS18" s="340"/>
      <c r="AT18" s="340"/>
      <c r="AU18" s="340"/>
      <c r="AV18" s="340"/>
      <c r="AW18" s="340"/>
      <c r="AX18" s="340"/>
      <c r="AY18" s="340"/>
      <c r="AZ18" s="340"/>
      <c r="BA18" s="341"/>
      <c r="BB18" s="341"/>
      <c r="BC18" s="342"/>
      <c r="BD18" s="342"/>
      <c r="BE18" s="342"/>
      <c r="BF18" s="342"/>
      <c r="BG18" s="342"/>
    </row>
    <row r="19" spans="1:59" s="1" customFormat="1" ht="15.5" x14ac:dyDescent="0.35">
      <c r="A19" s="331" t="s">
        <v>586</v>
      </c>
      <c r="B19" s="332"/>
      <c r="C19" s="320"/>
      <c r="D19" s="320"/>
      <c r="E19" s="320"/>
      <c r="F19" s="320"/>
      <c r="G19" s="315"/>
      <c r="H19" s="315"/>
      <c r="I19" s="315"/>
      <c r="J19" s="315"/>
      <c r="K19" s="315"/>
      <c r="L19" s="315"/>
      <c r="M19" s="315"/>
      <c r="N19" s="315"/>
      <c r="O19" s="315"/>
      <c r="P19" s="315"/>
      <c r="Q19" s="315"/>
      <c r="R19" s="315"/>
      <c r="S19" s="315"/>
      <c r="T19" s="315"/>
      <c r="U19" s="315"/>
      <c r="V19" s="315"/>
      <c r="W19" s="315"/>
      <c r="X19" s="315"/>
      <c r="Y19" s="315"/>
      <c r="Z19" s="315"/>
      <c r="AA19" s="315"/>
      <c r="AB19" s="315"/>
      <c r="AC19" s="315"/>
      <c r="AD19" s="315"/>
      <c r="AE19" s="315"/>
      <c r="AF19" s="315"/>
      <c r="AG19" s="315"/>
      <c r="AH19" s="315"/>
      <c r="AI19" s="315"/>
      <c r="AJ19" s="315"/>
      <c r="AK19" s="315"/>
      <c r="AL19" s="315"/>
      <c r="AM19" s="315"/>
      <c r="AN19" s="315"/>
      <c r="AO19" s="315"/>
      <c r="AP19" s="315"/>
      <c r="AQ19" s="315"/>
      <c r="AR19" s="340"/>
      <c r="AS19" s="340"/>
      <c r="AT19" s="340"/>
      <c r="AU19" s="340"/>
      <c r="AV19" s="340"/>
      <c r="AW19" s="340"/>
      <c r="AX19" s="340"/>
      <c r="AY19" s="340"/>
      <c r="AZ19" s="340"/>
      <c r="BA19" s="341"/>
      <c r="BB19" s="341"/>
      <c r="BC19" s="342"/>
      <c r="BD19" s="342"/>
      <c r="BE19" s="342"/>
      <c r="BF19" s="342"/>
      <c r="BG19" s="342"/>
    </row>
    <row r="20" spans="1:59" s="1" customFormat="1" ht="15.5" x14ac:dyDescent="0.35">
      <c r="A20" s="331"/>
      <c r="B20" s="332"/>
      <c r="C20" s="320"/>
      <c r="D20" s="320"/>
      <c r="E20" s="320"/>
      <c r="F20" s="320"/>
      <c r="G20" s="315"/>
      <c r="H20" s="315"/>
      <c r="I20" s="315"/>
      <c r="J20" s="315"/>
      <c r="K20" s="315"/>
      <c r="L20" s="315"/>
      <c r="M20" s="315"/>
      <c r="N20" s="315"/>
      <c r="O20" s="315"/>
      <c r="P20" s="315"/>
      <c r="Q20" s="315"/>
      <c r="R20" s="315"/>
      <c r="S20" s="315"/>
      <c r="T20" s="315"/>
      <c r="U20" s="315"/>
      <c r="V20" s="315"/>
      <c r="W20" s="315"/>
      <c r="X20" s="315"/>
      <c r="Y20" s="315"/>
      <c r="Z20" s="315"/>
      <c r="AA20" s="315"/>
      <c r="AB20" s="315"/>
      <c r="AC20" s="315"/>
      <c r="AD20" s="315"/>
      <c r="AE20" s="315"/>
      <c r="AF20" s="315"/>
      <c r="AG20" s="315"/>
      <c r="AH20" s="315"/>
      <c r="AI20" s="315"/>
      <c r="AJ20" s="315"/>
      <c r="AK20" s="315"/>
      <c r="AL20" s="315"/>
      <c r="AM20" s="315"/>
      <c r="AN20" s="315"/>
      <c r="AO20" s="315"/>
      <c r="AP20" s="315"/>
      <c r="AQ20" s="315"/>
      <c r="AR20" s="340"/>
      <c r="AS20" s="340"/>
      <c r="AT20" s="340"/>
      <c r="AU20" s="340"/>
      <c r="AV20" s="340"/>
      <c r="AW20" s="340"/>
      <c r="AX20" s="340"/>
      <c r="AY20" s="340"/>
      <c r="AZ20" s="340"/>
      <c r="BA20" s="341"/>
      <c r="BB20" s="341"/>
      <c r="BC20" s="342"/>
      <c r="BD20" s="342"/>
      <c r="BE20" s="342"/>
      <c r="BF20" s="342"/>
      <c r="BG20" s="342"/>
    </row>
    <row r="21" spans="1:59" s="1" customFormat="1" ht="24" customHeight="1" x14ac:dyDescent="0.35">
      <c r="A21" s="318" t="s">
        <v>176</v>
      </c>
      <c r="B21" s="318">
        <v>2.2999999999999998</v>
      </c>
      <c r="C21" s="319" t="s">
        <v>177</v>
      </c>
      <c r="D21" s="320"/>
      <c r="E21" s="320"/>
      <c r="F21" s="320"/>
      <c r="G21" s="315"/>
      <c r="H21" s="315"/>
      <c r="I21" s="315"/>
      <c r="J21" s="315"/>
      <c r="K21" s="315"/>
      <c r="L21" s="315"/>
      <c r="M21" s="315"/>
      <c r="N21" s="315"/>
      <c r="O21" s="315"/>
      <c r="P21" s="315"/>
      <c r="Q21" s="315"/>
      <c r="R21" s="315"/>
      <c r="S21" s="315"/>
      <c r="T21" s="315"/>
      <c r="U21" s="315"/>
      <c r="V21" s="315"/>
      <c r="W21" s="315"/>
      <c r="X21" s="315"/>
      <c r="Y21" s="315"/>
      <c r="Z21" s="315"/>
      <c r="AA21" s="315"/>
      <c r="AB21" s="315"/>
      <c r="AC21" s="315"/>
      <c r="AD21" s="315"/>
      <c r="AE21" s="315"/>
      <c r="AF21" s="315"/>
      <c r="AG21" s="315"/>
      <c r="AH21" s="315"/>
      <c r="AI21" s="315"/>
      <c r="AJ21" s="315"/>
      <c r="AK21" s="315"/>
      <c r="AL21" s="315"/>
      <c r="AM21" s="315"/>
      <c r="AN21" s="315"/>
      <c r="AO21" s="315"/>
      <c r="AP21" s="315"/>
      <c r="AQ21" s="315"/>
      <c r="AR21" s="340"/>
      <c r="AS21" s="340"/>
      <c r="AT21" s="340"/>
      <c r="AU21" s="340"/>
      <c r="AV21" s="340"/>
      <c r="AW21" s="340"/>
      <c r="AX21" s="340"/>
      <c r="AY21" s="340"/>
      <c r="AZ21" s="340"/>
      <c r="BA21" s="341"/>
      <c r="BB21" s="341"/>
      <c r="BC21" s="342"/>
      <c r="BD21" s="342"/>
      <c r="BE21" s="342"/>
      <c r="BF21" s="342"/>
      <c r="BG21" s="342"/>
    </row>
    <row r="22" spans="1:59" s="1" customFormat="1" ht="15.5" x14ac:dyDescent="0.35">
      <c r="A22" s="324" t="s">
        <v>587</v>
      </c>
      <c r="B22" s="320"/>
      <c r="C22" s="320"/>
      <c r="D22" s="320"/>
      <c r="E22" s="320"/>
      <c r="F22" s="320"/>
      <c r="G22" s="315"/>
      <c r="H22" s="315"/>
      <c r="I22" s="315"/>
      <c r="J22" s="315"/>
      <c r="K22" s="315"/>
      <c r="L22" s="315"/>
      <c r="M22" s="315"/>
      <c r="N22" s="315"/>
      <c r="O22" s="315"/>
      <c r="P22" s="315"/>
      <c r="Q22" s="315"/>
      <c r="R22" s="315"/>
      <c r="S22" s="315"/>
      <c r="T22" s="315"/>
      <c r="U22" s="315"/>
      <c r="V22" s="315"/>
      <c r="W22" s="315"/>
      <c r="X22" s="315"/>
      <c r="Y22" s="315"/>
      <c r="Z22" s="315"/>
      <c r="AA22" s="315"/>
      <c r="AB22" s="315"/>
      <c r="AC22" s="315"/>
      <c r="AD22" s="315"/>
      <c r="AE22" s="315"/>
      <c r="AF22" s="315"/>
      <c r="AG22" s="315"/>
      <c r="AH22" s="315"/>
      <c r="AI22" s="315"/>
      <c r="AJ22" s="315"/>
      <c r="AK22" s="315"/>
      <c r="AL22" s="315"/>
      <c r="AM22" s="315"/>
      <c r="AN22" s="315"/>
      <c r="AO22" s="315"/>
      <c r="AP22" s="315"/>
      <c r="AQ22" s="315"/>
      <c r="AR22" s="340"/>
      <c r="AS22" s="340"/>
      <c r="AT22" s="340"/>
      <c r="AU22" s="340"/>
      <c r="AV22" s="340"/>
      <c r="AW22" s="340"/>
      <c r="AX22" s="340"/>
      <c r="AY22" s="340"/>
      <c r="AZ22" s="340"/>
      <c r="BA22" s="341"/>
      <c r="BB22" s="341"/>
      <c r="BC22" s="342"/>
      <c r="BD22" s="342"/>
      <c r="BE22" s="342"/>
      <c r="BF22" s="342"/>
      <c r="BG22" s="342"/>
    </row>
    <row r="23" spans="1:59" s="1" customFormat="1" ht="15.5" x14ac:dyDescent="0.35">
      <c r="A23" s="327"/>
      <c r="B23" s="320"/>
      <c r="C23" s="320"/>
      <c r="D23" s="320"/>
      <c r="E23" s="320"/>
      <c r="F23" s="320"/>
      <c r="G23" s="315"/>
      <c r="H23" s="315"/>
      <c r="I23" s="315"/>
      <c r="J23" s="315"/>
      <c r="K23" s="315"/>
      <c r="L23" s="315"/>
      <c r="M23" s="315"/>
      <c r="N23" s="315"/>
      <c r="O23" s="315"/>
      <c r="P23" s="315"/>
      <c r="Q23" s="315"/>
      <c r="R23" s="315"/>
      <c r="S23" s="315"/>
      <c r="T23" s="315"/>
      <c r="U23" s="315"/>
      <c r="V23" s="315"/>
      <c r="W23" s="315"/>
      <c r="X23" s="315"/>
      <c r="Y23" s="315"/>
      <c r="Z23" s="315"/>
      <c r="AA23" s="315"/>
      <c r="AB23" s="315"/>
      <c r="AC23" s="315"/>
      <c r="AD23" s="315"/>
      <c r="AE23" s="315"/>
      <c r="AF23" s="315"/>
      <c r="AG23" s="315"/>
      <c r="AH23" s="315"/>
      <c r="AI23" s="315"/>
      <c r="AJ23" s="315"/>
      <c r="AK23" s="315"/>
      <c r="AL23" s="315"/>
      <c r="AM23" s="315"/>
      <c r="AN23" s="315"/>
      <c r="AO23" s="315"/>
      <c r="AP23" s="315"/>
      <c r="AQ23" s="315"/>
      <c r="AR23" s="340"/>
      <c r="AS23" s="340"/>
      <c r="AT23" s="340"/>
      <c r="AU23" s="340"/>
      <c r="AV23" s="340"/>
      <c r="AW23" s="340"/>
      <c r="AX23" s="340"/>
      <c r="AY23" s="340"/>
      <c r="AZ23" s="340"/>
      <c r="BA23" s="341"/>
      <c r="BB23" s="341"/>
      <c r="BC23" s="342"/>
      <c r="BD23" s="342"/>
      <c r="BE23" s="342"/>
      <c r="BF23" s="342"/>
      <c r="BG23" s="342"/>
    </row>
    <row r="24" spans="1:59" s="328" customFormat="1" ht="21" customHeight="1" x14ac:dyDescent="0.3">
      <c r="A24" s="318" t="s">
        <v>576</v>
      </c>
      <c r="B24" s="319">
        <v>2543</v>
      </c>
      <c r="C24" s="319" t="s">
        <v>577</v>
      </c>
      <c r="D24" s="320"/>
      <c r="E24" s="320"/>
      <c r="F24" s="320"/>
      <c r="G24" s="320"/>
      <c r="H24" s="320"/>
      <c r="I24" s="320"/>
      <c r="J24" s="320"/>
      <c r="K24" s="320"/>
      <c r="L24" s="320"/>
      <c r="M24" s="320"/>
      <c r="N24" s="320"/>
      <c r="O24" s="320"/>
      <c r="P24" s="320"/>
      <c r="Q24" s="320"/>
      <c r="R24" s="320"/>
      <c r="S24" s="320"/>
      <c r="T24" s="320"/>
      <c r="U24" s="320"/>
      <c r="V24" s="320"/>
      <c r="W24" s="320"/>
      <c r="X24" s="320"/>
      <c r="Y24" s="320"/>
      <c r="Z24" s="320"/>
      <c r="AA24" s="320"/>
      <c r="AB24" s="320"/>
      <c r="AC24" s="320"/>
      <c r="AD24" s="320"/>
      <c r="AE24" s="320"/>
      <c r="AF24" s="320"/>
      <c r="AG24" s="320"/>
      <c r="AH24" s="320"/>
      <c r="AI24" s="320"/>
      <c r="AJ24" s="320"/>
      <c r="AK24" s="320"/>
      <c r="AL24" s="320"/>
      <c r="AM24" s="320"/>
      <c r="AN24" s="320"/>
      <c r="AO24" s="320"/>
      <c r="AP24" s="320"/>
      <c r="AQ24" s="320"/>
      <c r="AR24" s="347"/>
      <c r="AS24" s="347"/>
      <c r="AT24" s="347"/>
      <c r="AU24" s="347"/>
      <c r="AV24" s="347"/>
      <c r="AW24" s="347"/>
      <c r="AX24" s="347"/>
      <c r="AY24" s="347"/>
      <c r="AZ24" s="347"/>
      <c r="BA24" s="348"/>
      <c r="BB24" s="348"/>
      <c r="BC24" s="349"/>
      <c r="BD24" s="349"/>
      <c r="BE24" s="349"/>
      <c r="BF24" s="349"/>
      <c r="BG24" s="349"/>
    </row>
    <row r="25" spans="1:59" s="1" customFormat="1" ht="20.149999999999999" customHeight="1" x14ac:dyDescent="0.35">
      <c r="A25" s="321" t="s">
        <v>588</v>
      </c>
      <c r="B25" s="33"/>
      <c r="C25" s="320"/>
      <c r="D25" s="320"/>
      <c r="E25" s="320"/>
      <c r="F25" s="320"/>
      <c r="G25" s="315"/>
      <c r="H25" s="315"/>
      <c r="I25" s="315"/>
      <c r="J25" s="315"/>
      <c r="K25" s="315"/>
      <c r="L25" s="315"/>
      <c r="M25" s="315"/>
      <c r="N25" s="315"/>
      <c r="O25" s="315"/>
      <c r="P25" s="315"/>
      <c r="Q25" s="315"/>
      <c r="R25" s="315"/>
      <c r="S25" s="315"/>
      <c r="T25" s="315"/>
      <c r="U25" s="315"/>
      <c r="V25" s="315"/>
      <c r="W25" s="315"/>
      <c r="X25" s="315"/>
      <c r="Y25" s="315"/>
      <c r="Z25" s="315"/>
      <c r="AA25" s="315"/>
      <c r="AB25" s="315"/>
      <c r="AC25" s="315"/>
      <c r="AD25" s="315"/>
      <c r="AE25" s="315"/>
      <c r="AF25" s="315"/>
      <c r="AG25" s="315"/>
      <c r="AH25" s="315"/>
      <c r="AI25" s="315"/>
      <c r="AJ25" s="315"/>
      <c r="AK25" s="315"/>
      <c r="AL25" s="315"/>
      <c r="AM25" s="315"/>
      <c r="AN25" s="315"/>
      <c r="AO25" s="315"/>
      <c r="AP25" s="315"/>
      <c r="AQ25" s="315"/>
      <c r="AR25" s="340"/>
      <c r="AS25" s="340"/>
      <c r="AT25" s="340"/>
      <c r="AU25" s="340"/>
      <c r="AV25" s="340"/>
      <c r="AW25" s="340"/>
      <c r="AX25" s="340"/>
      <c r="AY25" s="340"/>
      <c r="AZ25" s="340"/>
      <c r="BA25" s="341"/>
      <c r="BB25" s="341"/>
      <c r="BC25" s="342"/>
      <c r="BD25" s="342"/>
      <c r="BE25" s="342"/>
      <c r="BF25" s="342"/>
      <c r="BG25" s="342"/>
    </row>
    <row r="26" spans="1:59" s="1" customFormat="1" ht="15.5" x14ac:dyDescent="0.35">
      <c r="A26" s="327"/>
      <c r="B26" s="320"/>
      <c r="C26" s="320"/>
      <c r="D26" s="320"/>
      <c r="E26" s="320"/>
      <c r="F26" s="320"/>
      <c r="G26" s="315"/>
      <c r="H26" s="315"/>
      <c r="I26" s="315"/>
      <c r="J26" s="315"/>
      <c r="K26" s="315"/>
      <c r="L26" s="315"/>
      <c r="M26" s="315"/>
      <c r="N26" s="315"/>
      <c r="O26" s="315"/>
      <c r="P26" s="315"/>
      <c r="Q26" s="315"/>
      <c r="R26" s="315"/>
      <c r="S26" s="315"/>
      <c r="T26" s="315"/>
      <c r="U26" s="315"/>
      <c r="V26" s="315"/>
      <c r="W26" s="315"/>
      <c r="X26" s="315"/>
      <c r="Y26" s="315"/>
      <c r="Z26" s="315"/>
      <c r="AA26" s="315"/>
      <c r="AB26" s="315"/>
      <c r="AC26" s="315"/>
      <c r="AD26" s="315"/>
      <c r="AE26" s="315"/>
      <c r="AF26" s="315"/>
      <c r="AG26" s="315"/>
      <c r="AH26" s="315"/>
      <c r="AI26" s="315"/>
      <c r="AJ26" s="315"/>
      <c r="AK26" s="315"/>
      <c r="AL26" s="315"/>
      <c r="AM26" s="315"/>
      <c r="AN26" s="315"/>
      <c r="AO26" s="315"/>
      <c r="AP26" s="315"/>
      <c r="AQ26" s="315"/>
      <c r="AR26" s="340"/>
      <c r="AS26" s="340"/>
      <c r="AT26" s="340"/>
      <c r="AU26" s="340"/>
      <c r="AV26" s="340"/>
      <c r="AW26" s="340"/>
      <c r="AX26" s="340"/>
      <c r="AY26" s="340"/>
      <c r="AZ26" s="340"/>
      <c r="BA26" s="341"/>
      <c r="BB26" s="341"/>
      <c r="BC26" s="342"/>
      <c r="BD26" s="342"/>
      <c r="BE26" s="342"/>
      <c r="BF26" s="342"/>
      <c r="BG26" s="342"/>
    </row>
    <row r="27" spans="1:59" s="1" customFormat="1" ht="15.5" x14ac:dyDescent="0.35">
      <c r="A27" s="327"/>
      <c r="B27" s="320"/>
      <c r="C27" s="320"/>
      <c r="D27" s="320"/>
      <c r="E27" s="320"/>
      <c r="F27" s="320"/>
      <c r="G27" s="315"/>
      <c r="H27" s="315"/>
      <c r="I27" s="315"/>
      <c r="J27" s="315"/>
      <c r="K27" s="315"/>
      <c r="L27" s="315"/>
      <c r="M27" s="315"/>
      <c r="N27" s="315"/>
      <c r="O27" s="315"/>
      <c r="P27" s="315"/>
      <c r="Q27" s="315"/>
      <c r="R27" s="315"/>
      <c r="S27" s="315"/>
      <c r="T27" s="315"/>
      <c r="U27" s="315"/>
      <c r="V27" s="315"/>
      <c r="W27" s="315"/>
      <c r="X27" s="315"/>
      <c r="Y27" s="315"/>
      <c r="Z27" s="315"/>
      <c r="AA27" s="315"/>
      <c r="AB27" s="315"/>
      <c r="AC27" s="315"/>
      <c r="AD27" s="315"/>
      <c r="AE27" s="315"/>
      <c r="AF27" s="315"/>
      <c r="AG27" s="315"/>
      <c r="AH27" s="315"/>
      <c r="AI27" s="315"/>
      <c r="AJ27" s="315"/>
      <c r="AK27" s="315"/>
      <c r="AL27" s="315"/>
      <c r="AM27" s="315"/>
      <c r="AN27" s="315"/>
      <c r="AO27" s="315"/>
      <c r="AP27" s="315"/>
      <c r="AQ27" s="315"/>
      <c r="AR27" s="340"/>
      <c r="AS27" s="340"/>
      <c r="AT27" s="340"/>
      <c r="AU27" s="340"/>
      <c r="AV27" s="340"/>
      <c r="AW27" s="340"/>
      <c r="AX27" s="340"/>
      <c r="AY27" s="340"/>
      <c r="AZ27" s="340"/>
      <c r="BA27" s="341"/>
      <c r="BB27" s="341"/>
      <c r="BC27" s="342"/>
      <c r="BD27" s="342"/>
      <c r="BE27" s="342"/>
      <c r="BF27" s="342"/>
      <c r="BG27" s="342"/>
    </row>
    <row r="28" spans="1:59" s="1" customFormat="1" ht="15.5" x14ac:dyDescent="0.35">
      <c r="A28" s="327"/>
      <c r="B28" s="320"/>
      <c r="C28" s="320"/>
      <c r="D28" s="320"/>
      <c r="E28" s="320"/>
      <c r="F28" s="320"/>
      <c r="G28" s="315"/>
      <c r="H28" s="315"/>
      <c r="I28" s="315"/>
      <c r="J28" s="315"/>
      <c r="K28" s="315"/>
      <c r="L28" s="315"/>
      <c r="M28" s="315"/>
      <c r="N28" s="315"/>
      <c r="O28" s="315"/>
      <c r="P28" s="315"/>
      <c r="Q28" s="315"/>
      <c r="R28" s="315"/>
      <c r="S28" s="315"/>
      <c r="T28" s="315"/>
      <c r="U28" s="315"/>
      <c r="V28" s="315"/>
      <c r="W28" s="315"/>
      <c r="X28" s="315"/>
      <c r="Y28" s="315"/>
      <c r="Z28" s="315"/>
      <c r="AA28" s="315"/>
      <c r="AB28" s="315"/>
      <c r="AC28" s="315"/>
      <c r="AD28" s="315"/>
      <c r="AE28" s="315"/>
      <c r="AF28" s="315"/>
      <c r="AG28" s="315"/>
      <c r="AH28" s="315"/>
      <c r="AI28" s="315"/>
      <c r="AJ28" s="315"/>
      <c r="AK28" s="315"/>
      <c r="AL28" s="315"/>
      <c r="AM28" s="315"/>
      <c r="AN28" s="315"/>
      <c r="AO28" s="315"/>
      <c r="AP28" s="315"/>
      <c r="AQ28" s="315"/>
      <c r="AR28" s="340"/>
      <c r="AS28" s="340"/>
      <c r="AT28" s="340"/>
      <c r="AU28" s="340"/>
      <c r="AV28" s="340"/>
      <c r="AW28" s="340"/>
      <c r="AX28" s="340"/>
      <c r="AY28" s="340"/>
      <c r="AZ28" s="340"/>
      <c r="BA28" s="341"/>
      <c r="BB28" s="341"/>
      <c r="BC28" s="342"/>
      <c r="BD28" s="342"/>
      <c r="BE28" s="342"/>
      <c r="BF28" s="342"/>
      <c r="BG28" s="342"/>
    </row>
    <row r="29" spans="1:59" s="1" customFormat="1" ht="15.5" x14ac:dyDescent="0.35">
      <c r="A29" s="327"/>
      <c r="B29" s="320"/>
      <c r="C29" s="320"/>
      <c r="D29" s="320"/>
      <c r="E29" s="320"/>
      <c r="F29" s="320"/>
      <c r="G29" s="315"/>
      <c r="H29" s="315"/>
      <c r="I29" s="315"/>
      <c r="J29" s="315"/>
      <c r="K29" s="315"/>
      <c r="L29" s="315"/>
      <c r="M29" s="315"/>
      <c r="N29" s="315"/>
      <c r="O29" s="315"/>
      <c r="P29" s="315"/>
      <c r="Q29" s="315"/>
      <c r="R29" s="315"/>
      <c r="S29" s="315"/>
      <c r="T29" s="315"/>
      <c r="U29" s="315"/>
      <c r="V29" s="315"/>
      <c r="W29" s="315"/>
      <c r="X29" s="315"/>
      <c r="Y29" s="315"/>
      <c r="Z29" s="315"/>
      <c r="AA29" s="315"/>
      <c r="AB29" s="315"/>
      <c r="AC29" s="315"/>
      <c r="AD29" s="315"/>
      <c r="AE29" s="315"/>
      <c r="AF29" s="315"/>
      <c r="AG29" s="315"/>
      <c r="AH29" s="315"/>
      <c r="AI29" s="315"/>
      <c r="AJ29" s="315"/>
      <c r="AK29" s="315"/>
      <c r="AL29" s="315"/>
      <c r="AM29" s="315"/>
      <c r="AN29" s="315"/>
      <c r="AO29" s="315"/>
      <c r="AP29" s="315"/>
      <c r="AQ29" s="315"/>
      <c r="AR29" s="340"/>
      <c r="AS29" s="340"/>
      <c r="AT29" s="340"/>
      <c r="AU29" s="340"/>
      <c r="AV29" s="340"/>
      <c r="AW29" s="340"/>
      <c r="AX29" s="340"/>
      <c r="AY29" s="340"/>
      <c r="AZ29" s="340"/>
      <c r="BA29" s="341"/>
      <c r="BB29" s="341"/>
      <c r="BC29" s="342"/>
      <c r="BD29" s="342"/>
      <c r="BE29" s="342"/>
      <c r="BF29" s="342"/>
      <c r="BG29" s="342"/>
    </row>
    <row r="30" spans="1:59" s="1" customFormat="1" ht="15.5" x14ac:dyDescent="0.35">
      <c r="A30" s="327"/>
      <c r="B30" s="320"/>
      <c r="C30" s="320"/>
      <c r="D30" s="320"/>
      <c r="E30" s="320"/>
      <c r="F30" s="320"/>
      <c r="G30" s="315"/>
      <c r="H30" s="315"/>
      <c r="I30" s="315"/>
      <c r="J30" s="315"/>
      <c r="K30" s="315"/>
      <c r="L30" s="315"/>
      <c r="M30" s="315"/>
      <c r="N30" s="315"/>
      <c r="O30" s="315"/>
      <c r="P30" s="315"/>
      <c r="Q30" s="315"/>
      <c r="R30" s="315"/>
      <c r="S30" s="315"/>
      <c r="T30" s="315"/>
      <c r="U30" s="315"/>
      <c r="V30" s="315"/>
      <c r="W30" s="315"/>
      <c r="X30" s="315"/>
      <c r="Y30" s="315"/>
      <c r="Z30" s="315"/>
      <c r="AA30" s="315"/>
      <c r="AB30" s="315"/>
      <c r="AC30" s="315"/>
      <c r="AD30" s="315"/>
      <c r="AE30" s="315"/>
      <c r="AF30" s="315"/>
      <c r="AG30" s="315"/>
      <c r="AH30" s="315"/>
      <c r="AI30" s="315"/>
      <c r="AJ30" s="315"/>
      <c r="AK30" s="315"/>
      <c r="AL30" s="315"/>
      <c r="AM30" s="315"/>
      <c r="AN30" s="315"/>
      <c r="AO30" s="315"/>
      <c r="AP30" s="315"/>
      <c r="AQ30" s="315"/>
      <c r="AR30" s="340"/>
      <c r="AS30" s="340"/>
      <c r="AT30" s="340"/>
      <c r="AU30" s="340"/>
      <c r="AV30" s="340"/>
      <c r="AW30" s="340"/>
      <c r="AX30" s="340"/>
      <c r="AY30" s="340"/>
      <c r="AZ30" s="340"/>
      <c r="BA30" s="341"/>
      <c r="BB30" s="341"/>
      <c r="BC30" s="342"/>
      <c r="BD30" s="342"/>
      <c r="BE30" s="342"/>
      <c r="BF30" s="342"/>
      <c r="BG30" s="342"/>
    </row>
    <row r="31" spans="1:59" s="1" customFormat="1" ht="15.5" x14ac:dyDescent="0.35">
      <c r="A31" s="327"/>
      <c r="B31" s="320"/>
      <c r="C31" s="320"/>
      <c r="D31" s="320"/>
      <c r="E31" s="320"/>
      <c r="F31" s="320"/>
      <c r="G31" s="315"/>
      <c r="H31" s="315"/>
      <c r="I31" s="315"/>
      <c r="J31" s="315"/>
      <c r="K31" s="315"/>
      <c r="L31" s="315"/>
      <c r="M31" s="315"/>
      <c r="N31" s="315"/>
      <c r="O31" s="315"/>
      <c r="P31" s="315"/>
      <c r="Q31" s="315"/>
      <c r="R31" s="315"/>
      <c r="S31" s="315"/>
      <c r="T31" s="315"/>
      <c r="U31" s="315"/>
      <c r="V31" s="315"/>
      <c r="W31" s="315"/>
      <c r="X31" s="315"/>
      <c r="Y31" s="315"/>
      <c r="Z31" s="315"/>
      <c r="AA31" s="315"/>
      <c r="AB31" s="315"/>
      <c r="AC31" s="315"/>
      <c r="AD31" s="315"/>
      <c r="AE31" s="315"/>
      <c r="AF31" s="315"/>
      <c r="AG31" s="315"/>
      <c r="AH31" s="315"/>
      <c r="AI31" s="315"/>
      <c r="AJ31" s="315"/>
      <c r="AK31" s="315"/>
      <c r="AL31" s="315"/>
      <c r="AM31" s="315"/>
      <c r="AN31" s="315"/>
      <c r="AO31" s="315"/>
      <c r="AP31" s="315"/>
      <c r="AQ31" s="315"/>
      <c r="AR31" s="340"/>
      <c r="AS31" s="340"/>
      <c r="AT31" s="340"/>
      <c r="AU31" s="340"/>
      <c r="AV31" s="340"/>
      <c r="AW31" s="340"/>
      <c r="AX31" s="340"/>
      <c r="AY31" s="340"/>
      <c r="AZ31" s="340"/>
      <c r="BA31" s="341"/>
      <c r="BB31" s="341"/>
      <c r="BC31" s="342"/>
      <c r="BD31" s="342"/>
      <c r="BE31" s="342"/>
      <c r="BF31" s="342"/>
      <c r="BG31" s="342"/>
    </row>
    <row r="32" spans="1:59" s="1" customFormat="1" ht="15.5" x14ac:dyDescent="0.35">
      <c r="A32" s="327"/>
      <c r="B32" s="320"/>
      <c r="C32" s="320"/>
      <c r="D32" s="320"/>
      <c r="E32" s="320"/>
      <c r="F32" s="320"/>
      <c r="G32" s="315"/>
      <c r="H32" s="315"/>
      <c r="I32" s="315"/>
      <c r="J32" s="315"/>
      <c r="K32" s="315"/>
      <c r="L32" s="315"/>
      <c r="M32" s="315"/>
      <c r="N32" s="315"/>
      <c r="O32" s="315"/>
      <c r="P32" s="315"/>
      <c r="Q32" s="315"/>
      <c r="R32" s="315"/>
      <c r="S32" s="315"/>
      <c r="T32" s="315"/>
      <c r="U32" s="315"/>
      <c r="V32" s="315"/>
      <c r="W32" s="315"/>
      <c r="X32" s="315"/>
      <c r="Y32" s="315"/>
      <c r="Z32" s="315"/>
      <c r="AA32" s="315"/>
      <c r="AB32" s="315"/>
      <c r="AC32" s="315"/>
      <c r="AD32" s="315"/>
      <c r="AE32" s="315"/>
      <c r="AF32" s="315"/>
      <c r="AG32" s="315"/>
      <c r="AH32" s="315"/>
      <c r="AI32" s="315"/>
      <c r="AJ32" s="315"/>
      <c r="AK32" s="315"/>
      <c r="AL32" s="315"/>
      <c r="AM32" s="315"/>
      <c r="AN32" s="315"/>
      <c r="AO32" s="315"/>
      <c r="AP32" s="315"/>
      <c r="AQ32" s="315"/>
      <c r="AR32" s="340"/>
      <c r="AS32" s="340"/>
      <c r="AT32" s="340"/>
      <c r="AU32" s="340"/>
      <c r="AV32" s="340"/>
      <c r="AW32" s="340"/>
      <c r="AX32" s="340"/>
      <c r="AY32" s="340"/>
      <c r="AZ32" s="340"/>
      <c r="BA32" s="341"/>
      <c r="BB32" s="341"/>
      <c r="BC32" s="342"/>
      <c r="BD32" s="342"/>
      <c r="BE32" s="342"/>
      <c r="BF32" s="342"/>
      <c r="BG32" s="342"/>
    </row>
    <row r="33" spans="1:59" s="1" customFormat="1" ht="15.5" x14ac:dyDescent="0.35">
      <c r="A33" s="327"/>
      <c r="B33" s="320"/>
      <c r="C33" s="320"/>
      <c r="D33" s="320"/>
      <c r="E33" s="320"/>
      <c r="F33" s="320"/>
      <c r="G33" s="315"/>
      <c r="H33" s="315"/>
      <c r="I33" s="315"/>
      <c r="J33" s="315"/>
      <c r="K33" s="315"/>
      <c r="L33" s="315"/>
      <c r="M33" s="315"/>
      <c r="N33" s="315"/>
      <c r="O33" s="315"/>
      <c r="P33" s="315"/>
      <c r="Q33" s="315"/>
      <c r="R33" s="315"/>
      <c r="S33" s="315"/>
      <c r="T33" s="315"/>
      <c r="U33" s="315"/>
      <c r="V33" s="315"/>
      <c r="W33" s="315"/>
      <c r="X33" s="315"/>
      <c r="Y33" s="315"/>
      <c r="Z33" s="315"/>
      <c r="AA33" s="315"/>
      <c r="AB33" s="315"/>
      <c r="AC33" s="315"/>
      <c r="AD33" s="315"/>
      <c r="AE33" s="315"/>
      <c r="AF33" s="315"/>
      <c r="AG33" s="315"/>
      <c r="AH33" s="315"/>
      <c r="AI33" s="315"/>
      <c r="AJ33" s="315"/>
      <c r="AK33" s="315"/>
      <c r="AL33" s="315"/>
      <c r="AM33" s="315"/>
      <c r="AN33" s="315"/>
      <c r="AO33" s="315"/>
      <c r="AP33" s="315"/>
      <c r="AQ33" s="315"/>
      <c r="AR33" s="340"/>
      <c r="AS33" s="340"/>
      <c r="AT33" s="340"/>
      <c r="AU33" s="340"/>
      <c r="AV33" s="340"/>
      <c r="AW33" s="340"/>
      <c r="AX33" s="340"/>
      <c r="AY33" s="340"/>
      <c r="AZ33" s="340"/>
      <c r="BA33" s="341"/>
      <c r="BB33" s="341"/>
      <c r="BC33" s="342"/>
      <c r="BD33" s="342"/>
      <c r="BE33" s="342"/>
      <c r="BF33" s="342"/>
      <c r="BG33" s="342"/>
    </row>
    <row r="34" spans="1:59" s="1" customFormat="1" ht="15.5" x14ac:dyDescent="0.35">
      <c r="A34" s="327"/>
      <c r="B34" s="320"/>
      <c r="C34" s="320"/>
      <c r="D34" s="320"/>
      <c r="E34" s="320"/>
      <c r="F34" s="320"/>
      <c r="G34" s="315"/>
      <c r="H34" s="315"/>
      <c r="I34" s="315"/>
      <c r="J34" s="315"/>
      <c r="K34" s="315"/>
      <c r="L34" s="315"/>
      <c r="M34" s="315"/>
      <c r="N34" s="315"/>
      <c r="O34" s="315"/>
      <c r="P34" s="315"/>
      <c r="Q34" s="315"/>
      <c r="R34" s="315"/>
      <c r="S34" s="315"/>
      <c r="T34" s="315"/>
      <c r="U34" s="315"/>
      <c r="V34" s="315"/>
      <c r="W34" s="315"/>
      <c r="X34" s="315"/>
      <c r="Y34" s="315"/>
      <c r="Z34" s="315"/>
      <c r="AA34" s="315"/>
      <c r="AB34" s="315"/>
      <c r="AC34" s="315"/>
      <c r="AD34" s="315"/>
      <c r="AE34" s="315"/>
      <c r="AF34" s="315"/>
      <c r="AG34" s="315"/>
      <c r="AH34" s="315"/>
      <c r="AI34" s="315"/>
      <c r="AJ34" s="315"/>
      <c r="AK34" s="315"/>
      <c r="AL34" s="315"/>
      <c r="AM34" s="315"/>
      <c r="AN34" s="315"/>
      <c r="AO34" s="315"/>
      <c r="AP34" s="315"/>
      <c r="AQ34" s="315"/>
      <c r="AR34" s="340"/>
      <c r="AS34" s="340"/>
      <c r="AT34" s="340"/>
      <c r="AU34" s="340"/>
      <c r="AV34" s="340"/>
      <c r="AW34" s="340"/>
      <c r="AX34" s="340"/>
      <c r="AY34" s="340"/>
      <c r="AZ34" s="340"/>
      <c r="BA34" s="341"/>
      <c r="BB34" s="341"/>
      <c r="BC34" s="342"/>
      <c r="BD34" s="342"/>
      <c r="BE34" s="342"/>
      <c r="BF34" s="342"/>
      <c r="BG34" s="342"/>
    </row>
    <row r="35" spans="1:59" s="1" customFormat="1" ht="15.5" x14ac:dyDescent="0.35">
      <c r="A35" s="327"/>
      <c r="B35" s="320"/>
      <c r="C35" s="320"/>
      <c r="D35" s="320"/>
      <c r="E35" s="320"/>
      <c r="F35" s="320"/>
      <c r="G35" s="315"/>
      <c r="H35" s="315"/>
      <c r="I35" s="315"/>
      <c r="J35" s="315"/>
      <c r="K35" s="315"/>
      <c r="L35" s="315"/>
      <c r="M35" s="315"/>
      <c r="N35" s="315"/>
      <c r="O35" s="315"/>
      <c r="P35" s="315"/>
      <c r="Q35" s="315"/>
      <c r="R35" s="315"/>
      <c r="S35" s="315"/>
      <c r="T35" s="315"/>
      <c r="U35" s="315"/>
      <c r="V35" s="315"/>
      <c r="W35" s="315"/>
      <c r="X35" s="315"/>
      <c r="Y35" s="315"/>
      <c r="Z35" s="315"/>
      <c r="AA35" s="315"/>
      <c r="AB35" s="315"/>
      <c r="AC35" s="315"/>
      <c r="AD35" s="315"/>
      <c r="AE35" s="315"/>
      <c r="AF35" s="315"/>
      <c r="AG35" s="315"/>
      <c r="AH35" s="315"/>
      <c r="AI35" s="315"/>
      <c r="AJ35" s="315"/>
      <c r="AK35" s="315"/>
      <c r="AL35" s="315"/>
      <c r="AM35" s="315"/>
      <c r="AN35" s="315"/>
      <c r="AO35" s="315"/>
      <c r="AP35" s="315"/>
      <c r="AQ35" s="315"/>
      <c r="AR35" s="340"/>
      <c r="AS35" s="340"/>
      <c r="AT35" s="340"/>
      <c r="AU35" s="340"/>
      <c r="AV35" s="340"/>
      <c r="AW35" s="340"/>
      <c r="AX35" s="340"/>
      <c r="AY35" s="340"/>
      <c r="AZ35" s="340"/>
      <c r="BA35" s="341"/>
      <c r="BB35" s="341"/>
      <c r="BC35" s="342"/>
      <c r="BD35" s="342"/>
      <c r="BE35" s="342"/>
      <c r="BF35" s="342"/>
      <c r="BG35" s="342"/>
    </row>
    <row r="36" spans="1:59" s="1" customFormat="1" ht="15.5" x14ac:dyDescent="0.35">
      <c r="A36" s="327"/>
      <c r="B36" s="320"/>
      <c r="C36" s="320"/>
      <c r="D36" s="320"/>
      <c r="E36" s="320"/>
      <c r="F36" s="320"/>
      <c r="G36" s="315"/>
      <c r="H36" s="315"/>
      <c r="I36" s="315"/>
      <c r="J36" s="315"/>
      <c r="K36" s="315"/>
      <c r="L36" s="315"/>
      <c r="M36" s="315"/>
      <c r="N36" s="315"/>
      <c r="O36" s="315"/>
      <c r="P36" s="315"/>
      <c r="Q36" s="315"/>
      <c r="R36" s="315"/>
      <c r="S36" s="315"/>
      <c r="T36" s="315"/>
      <c r="U36" s="315"/>
      <c r="V36" s="315"/>
      <c r="W36" s="315"/>
      <c r="X36" s="315"/>
      <c r="Y36" s="315"/>
      <c r="Z36" s="315"/>
      <c r="AA36" s="315"/>
      <c r="AB36" s="315"/>
      <c r="AC36" s="315"/>
      <c r="AD36" s="315"/>
      <c r="AE36" s="315"/>
      <c r="AF36" s="315"/>
      <c r="AG36" s="315"/>
      <c r="AH36" s="315"/>
      <c r="AI36" s="315"/>
      <c r="AJ36" s="315"/>
      <c r="AK36" s="315"/>
      <c r="AL36" s="315"/>
      <c r="AM36" s="315"/>
      <c r="AN36" s="315"/>
      <c r="AO36" s="315"/>
      <c r="AP36" s="315"/>
      <c r="AQ36" s="315"/>
      <c r="AR36" s="340"/>
      <c r="AS36" s="340"/>
      <c r="AT36" s="340"/>
      <c r="AU36" s="340"/>
      <c r="AV36" s="340"/>
      <c r="AW36" s="340"/>
      <c r="AX36" s="340"/>
      <c r="AY36" s="340"/>
      <c r="AZ36" s="340"/>
      <c r="BA36" s="341"/>
      <c r="BB36" s="341"/>
      <c r="BC36" s="342"/>
      <c r="BD36" s="342"/>
      <c r="BE36" s="342"/>
      <c r="BF36" s="342"/>
      <c r="BG36" s="342"/>
    </row>
    <row r="37" spans="1:59" s="1" customFormat="1" ht="15.5" x14ac:dyDescent="0.35">
      <c r="A37" s="327"/>
      <c r="B37" s="320"/>
      <c r="C37" s="320"/>
      <c r="D37" s="320"/>
      <c r="E37" s="320"/>
      <c r="F37" s="320"/>
      <c r="G37" s="315"/>
      <c r="H37" s="315"/>
      <c r="I37" s="315"/>
      <c r="J37" s="315"/>
      <c r="K37" s="315"/>
      <c r="L37" s="315"/>
      <c r="M37" s="315"/>
      <c r="N37" s="315"/>
      <c r="O37" s="315"/>
      <c r="P37" s="315"/>
      <c r="Q37" s="315"/>
      <c r="R37" s="315"/>
      <c r="S37" s="315"/>
      <c r="T37" s="315"/>
      <c r="U37" s="315"/>
      <c r="V37" s="315"/>
      <c r="W37" s="315"/>
      <c r="X37" s="315"/>
      <c r="Y37" s="315"/>
      <c r="Z37" s="315"/>
      <c r="AA37" s="315"/>
      <c r="AB37" s="315"/>
      <c r="AC37" s="315"/>
      <c r="AD37" s="315"/>
      <c r="AE37" s="315"/>
      <c r="AF37" s="315"/>
      <c r="AG37" s="315"/>
      <c r="AH37" s="315"/>
      <c r="AI37" s="315"/>
      <c r="AJ37" s="315"/>
      <c r="AK37" s="315"/>
      <c r="AL37" s="315"/>
      <c r="AM37" s="315"/>
      <c r="AN37" s="315"/>
      <c r="AO37" s="315"/>
      <c r="AP37" s="315"/>
      <c r="AQ37" s="315"/>
      <c r="AR37" s="340"/>
      <c r="AS37" s="340"/>
      <c r="AT37" s="340"/>
      <c r="AU37" s="340"/>
      <c r="AV37" s="340"/>
      <c r="AW37" s="340"/>
      <c r="AX37" s="340"/>
      <c r="AY37" s="340"/>
      <c r="AZ37" s="340"/>
      <c r="BA37" s="341"/>
      <c r="BB37" s="341"/>
      <c r="BC37" s="342"/>
      <c r="BD37" s="342"/>
      <c r="BE37" s="342"/>
      <c r="BF37" s="342"/>
      <c r="BG37" s="342"/>
    </row>
    <row r="38" spans="1:59" s="1" customFormat="1" ht="15.5" x14ac:dyDescent="0.35">
      <c r="A38" s="327"/>
      <c r="B38" s="320"/>
      <c r="C38" s="320"/>
      <c r="D38" s="320"/>
      <c r="E38" s="320"/>
      <c r="F38" s="320"/>
      <c r="G38" s="315"/>
      <c r="H38" s="315"/>
      <c r="I38" s="315"/>
      <c r="J38" s="315"/>
      <c r="K38" s="315"/>
      <c r="L38" s="315"/>
      <c r="M38" s="315"/>
      <c r="N38" s="315"/>
      <c r="O38" s="315"/>
      <c r="P38" s="315"/>
      <c r="Q38" s="315"/>
      <c r="R38" s="315"/>
      <c r="S38" s="315"/>
      <c r="T38" s="315"/>
      <c r="U38" s="315"/>
      <c r="V38" s="315"/>
      <c r="W38" s="315"/>
      <c r="X38" s="315"/>
      <c r="Y38" s="315"/>
      <c r="Z38" s="315"/>
      <c r="AA38" s="315"/>
      <c r="AB38" s="315"/>
      <c r="AC38" s="315"/>
      <c r="AD38" s="315"/>
      <c r="AE38" s="315"/>
      <c r="AF38" s="315"/>
      <c r="AG38" s="315"/>
      <c r="AH38" s="315"/>
      <c r="AI38" s="315"/>
      <c r="AJ38" s="315"/>
      <c r="AK38" s="315"/>
      <c r="AL38" s="315"/>
      <c r="AM38" s="315"/>
      <c r="AN38" s="315"/>
      <c r="AO38" s="315"/>
      <c r="AP38" s="315"/>
      <c r="AQ38" s="315"/>
      <c r="AR38" s="340"/>
      <c r="AS38" s="340"/>
      <c r="AT38" s="340"/>
      <c r="AU38" s="340"/>
      <c r="AV38" s="340"/>
      <c r="AW38" s="340"/>
      <c r="AX38" s="340"/>
      <c r="AY38" s="340"/>
      <c r="AZ38" s="340"/>
      <c r="BA38" s="341"/>
      <c r="BB38" s="341"/>
      <c r="BC38" s="342"/>
      <c r="BD38" s="342"/>
      <c r="BE38" s="342"/>
      <c r="BF38" s="342"/>
      <c r="BG38" s="342"/>
    </row>
    <row r="39" spans="1:59" s="1" customFormat="1" ht="15.5" x14ac:dyDescent="0.35">
      <c r="A39" s="327"/>
      <c r="B39" s="320"/>
      <c r="C39" s="320"/>
      <c r="D39" s="320"/>
      <c r="E39" s="320"/>
      <c r="F39" s="320"/>
      <c r="G39" s="315"/>
      <c r="H39" s="315"/>
      <c r="I39" s="315"/>
      <c r="J39" s="315"/>
      <c r="K39" s="315"/>
      <c r="L39" s="315"/>
      <c r="M39" s="315"/>
      <c r="N39" s="315"/>
      <c r="O39" s="315"/>
      <c r="P39" s="315"/>
      <c r="Q39" s="315"/>
      <c r="R39" s="315"/>
      <c r="S39" s="315"/>
      <c r="T39" s="315"/>
      <c r="U39" s="315"/>
      <c r="V39" s="315"/>
      <c r="W39" s="315"/>
      <c r="X39" s="315"/>
      <c r="Y39" s="315"/>
      <c r="Z39" s="315"/>
      <c r="AA39" s="315"/>
      <c r="AB39" s="315"/>
      <c r="AC39" s="315"/>
      <c r="AD39" s="315"/>
      <c r="AE39" s="315"/>
      <c r="AF39" s="315"/>
      <c r="AG39" s="315"/>
      <c r="AH39" s="315"/>
      <c r="AI39" s="315"/>
      <c r="AJ39" s="315"/>
      <c r="AK39" s="315"/>
      <c r="AL39" s="315"/>
      <c r="AM39" s="315"/>
      <c r="AN39" s="315"/>
      <c r="AO39" s="315"/>
      <c r="AP39" s="315"/>
      <c r="AQ39" s="315"/>
      <c r="AR39" s="340"/>
      <c r="AS39" s="340"/>
      <c r="AT39" s="340"/>
      <c r="AU39" s="340"/>
      <c r="AV39" s="340"/>
      <c r="AW39" s="340"/>
      <c r="AX39" s="340"/>
      <c r="AY39" s="340"/>
      <c r="AZ39" s="340"/>
      <c r="BA39" s="341"/>
      <c r="BB39" s="341"/>
      <c r="BC39" s="342"/>
      <c r="BD39" s="342"/>
      <c r="BE39" s="342"/>
      <c r="BF39" s="342"/>
      <c r="BG39" s="342"/>
    </row>
    <row r="40" spans="1:59" s="1" customFormat="1" ht="15.5" x14ac:dyDescent="0.35">
      <c r="A40" s="327"/>
      <c r="B40" s="320"/>
      <c r="C40" s="320"/>
      <c r="D40" s="320"/>
      <c r="E40" s="320"/>
      <c r="F40" s="320"/>
      <c r="G40" s="315"/>
      <c r="H40" s="315"/>
      <c r="I40" s="315"/>
      <c r="J40" s="315"/>
      <c r="K40" s="315"/>
      <c r="L40" s="315"/>
      <c r="M40" s="315"/>
      <c r="N40" s="315"/>
      <c r="O40" s="315"/>
      <c r="P40" s="315"/>
      <c r="Q40" s="315"/>
      <c r="R40" s="315"/>
      <c r="S40" s="315"/>
      <c r="T40" s="315"/>
      <c r="U40" s="315"/>
      <c r="V40" s="315"/>
      <c r="W40" s="315"/>
      <c r="X40" s="315"/>
      <c r="Y40" s="315"/>
      <c r="Z40" s="315"/>
      <c r="AA40" s="315"/>
      <c r="AB40" s="315"/>
      <c r="AC40" s="315"/>
      <c r="AD40" s="315"/>
      <c r="AE40" s="315"/>
      <c r="AF40" s="315"/>
      <c r="AG40" s="315"/>
      <c r="AH40" s="315"/>
      <c r="AI40" s="315"/>
      <c r="AJ40" s="315"/>
      <c r="AK40" s="315"/>
      <c r="AL40" s="315"/>
      <c r="AM40" s="315"/>
      <c r="AN40" s="315"/>
      <c r="AO40" s="315"/>
      <c r="AP40" s="315"/>
      <c r="AQ40" s="315"/>
      <c r="AR40" s="340"/>
      <c r="AS40" s="340"/>
      <c r="AT40" s="340"/>
      <c r="AU40" s="340"/>
      <c r="AV40" s="340"/>
      <c r="AW40" s="340"/>
      <c r="AX40" s="340"/>
      <c r="AY40" s="340"/>
      <c r="AZ40" s="340"/>
      <c r="BA40" s="341"/>
      <c r="BB40" s="341"/>
      <c r="BC40" s="342"/>
      <c r="BD40" s="342"/>
      <c r="BE40" s="342"/>
      <c r="BF40" s="342"/>
      <c r="BG40" s="342"/>
    </row>
    <row r="41" spans="1:59" s="1" customFormat="1" ht="15.5" x14ac:dyDescent="0.35">
      <c r="A41" s="327"/>
      <c r="B41" s="320"/>
      <c r="C41" s="320"/>
      <c r="D41" s="320"/>
      <c r="E41" s="320"/>
      <c r="F41" s="320"/>
      <c r="G41" s="315"/>
      <c r="H41" s="315"/>
      <c r="I41" s="315"/>
      <c r="J41" s="315"/>
      <c r="K41" s="315"/>
      <c r="L41" s="315"/>
      <c r="M41" s="315"/>
      <c r="N41" s="315"/>
      <c r="O41" s="315"/>
      <c r="P41" s="315"/>
      <c r="Q41" s="315"/>
      <c r="R41" s="315"/>
      <c r="S41" s="315"/>
      <c r="T41" s="315"/>
      <c r="U41" s="315"/>
      <c r="V41" s="315"/>
      <c r="W41" s="315"/>
      <c r="X41" s="315"/>
      <c r="Y41" s="315"/>
      <c r="Z41" s="315"/>
      <c r="AA41" s="315"/>
      <c r="AB41" s="315"/>
      <c r="AC41" s="315"/>
      <c r="AD41" s="315"/>
      <c r="AE41" s="315"/>
      <c r="AF41" s="315"/>
      <c r="AG41" s="315"/>
      <c r="AH41" s="315"/>
      <c r="AI41" s="315"/>
      <c r="AJ41" s="315"/>
      <c r="AK41" s="315"/>
      <c r="AL41" s="315"/>
      <c r="AM41" s="315"/>
      <c r="AN41" s="315"/>
      <c r="AO41" s="315"/>
      <c r="AP41" s="315"/>
      <c r="AQ41" s="315"/>
      <c r="AR41" s="340"/>
      <c r="AS41" s="340"/>
      <c r="AT41" s="340"/>
      <c r="AU41" s="340"/>
      <c r="AV41" s="340"/>
      <c r="AW41" s="340"/>
      <c r="AX41" s="340"/>
      <c r="AY41" s="340"/>
      <c r="AZ41" s="340"/>
      <c r="BA41" s="341"/>
      <c r="BB41" s="341"/>
      <c r="BC41" s="342"/>
      <c r="BD41" s="342"/>
      <c r="BE41" s="342"/>
      <c r="BF41" s="342"/>
      <c r="BG41" s="342"/>
    </row>
    <row r="42" spans="1:59" s="1" customFormat="1" ht="15.5" x14ac:dyDescent="0.35">
      <c r="A42" s="349"/>
      <c r="B42" s="347"/>
      <c r="C42" s="347"/>
      <c r="D42" s="347"/>
      <c r="E42" s="347"/>
      <c r="F42" s="347"/>
      <c r="G42" s="340"/>
      <c r="H42" s="340"/>
      <c r="I42" s="340"/>
      <c r="J42" s="340"/>
      <c r="K42" s="340"/>
      <c r="L42" s="340"/>
      <c r="M42" s="340"/>
      <c r="N42" s="340"/>
      <c r="O42" s="340"/>
      <c r="P42" s="315"/>
      <c r="Q42" s="315"/>
      <c r="R42" s="315"/>
      <c r="S42" s="315"/>
      <c r="T42" s="315"/>
      <c r="U42" s="315"/>
      <c r="V42" s="315"/>
      <c r="W42" s="315"/>
      <c r="X42" s="315"/>
      <c r="Y42" s="315"/>
      <c r="Z42" s="315"/>
      <c r="AA42" s="315"/>
      <c r="AB42" s="315"/>
      <c r="AC42" s="315"/>
      <c r="AD42" s="315"/>
      <c r="AE42" s="315"/>
      <c r="AF42" s="315"/>
      <c r="AG42" s="315"/>
      <c r="AH42" s="315"/>
      <c r="AI42" s="315"/>
      <c r="AJ42" s="315"/>
      <c r="AK42" s="315"/>
      <c r="AL42" s="315"/>
      <c r="AM42" s="315"/>
      <c r="AN42" s="315"/>
      <c r="AO42" s="315"/>
      <c r="AP42" s="315"/>
      <c r="AQ42" s="315"/>
      <c r="AR42" s="340"/>
      <c r="AS42" s="340"/>
      <c r="AT42" s="340"/>
      <c r="AU42" s="340"/>
      <c r="AV42" s="340"/>
      <c r="AW42" s="340"/>
      <c r="AX42" s="340"/>
      <c r="AY42" s="340"/>
      <c r="AZ42" s="340"/>
      <c r="BA42" s="341"/>
      <c r="BB42" s="341"/>
      <c r="BC42" s="342"/>
      <c r="BD42" s="342"/>
      <c r="BE42" s="342"/>
      <c r="BF42" s="342"/>
      <c r="BG42" s="342"/>
    </row>
    <row r="43" spans="1:59" s="1" customFormat="1" ht="15.5" x14ac:dyDescent="0.35">
      <c r="A43" s="349"/>
      <c r="B43" s="347"/>
      <c r="C43" s="347"/>
      <c r="D43" s="347"/>
      <c r="E43" s="347"/>
      <c r="F43" s="347"/>
      <c r="G43" s="340"/>
      <c r="H43" s="340"/>
      <c r="I43" s="340"/>
      <c r="J43" s="340"/>
      <c r="K43" s="340"/>
      <c r="L43" s="340"/>
      <c r="M43" s="340"/>
      <c r="N43" s="340"/>
      <c r="O43" s="340"/>
      <c r="P43" s="315"/>
      <c r="Q43" s="315"/>
      <c r="R43" s="315"/>
      <c r="S43" s="315"/>
      <c r="T43" s="315"/>
      <c r="U43" s="315"/>
      <c r="V43" s="315"/>
      <c r="W43" s="315"/>
      <c r="X43" s="315"/>
      <c r="Y43" s="315"/>
      <c r="Z43" s="315"/>
      <c r="AA43" s="315"/>
      <c r="AB43" s="315"/>
      <c r="AC43" s="315"/>
      <c r="AD43" s="315"/>
      <c r="AE43" s="315"/>
      <c r="AF43" s="315"/>
      <c r="AG43" s="315"/>
      <c r="AH43" s="315"/>
      <c r="AI43" s="315"/>
      <c r="AJ43" s="315"/>
      <c r="AK43" s="315"/>
      <c r="AL43" s="315"/>
      <c r="AM43" s="315"/>
      <c r="AN43" s="315"/>
      <c r="AO43" s="315"/>
      <c r="AP43" s="315"/>
      <c r="AQ43" s="315"/>
      <c r="AR43" s="340"/>
      <c r="AS43" s="340"/>
      <c r="AT43" s="340"/>
      <c r="AU43" s="340"/>
      <c r="AV43" s="340"/>
      <c r="AW43" s="340"/>
      <c r="AX43" s="340"/>
      <c r="AY43" s="340"/>
      <c r="AZ43" s="340"/>
      <c r="BA43" s="341"/>
      <c r="BB43" s="341"/>
      <c r="BC43" s="342"/>
      <c r="BD43" s="342"/>
      <c r="BE43" s="342"/>
      <c r="BF43" s="342"/>
      <c r="BG43" s="342"/>
    </row>
    <row r="44" spans="1:59" s="1" customFormat="1" ht="15.5" x14ac:dyDescent="0.35">
      <c r="A44" s="349"/>
      <c r="B44" s="347"/>
      <c r="C44" s="347"/>
      <c r="D44" s="347"/>
      <c r="E44" s="347"/>
      <c r="F44" s="347"/>
      <c r="G44" s="340"/>
      <c r="H44" s="340"/>
      <c r="I44" s="340"/>
      <c r="J44" s="340"/>
      <c r="K44" s="340"/>
      <c r="L44" s="340"/>
      <c r="M44" s="340"/>
      <c r="N44" s="340"/>
      <c r="O44" s="340"/>
      <c r="P44" s="315"/>
      <c r="Q44" s="315"/>
      <c r="R44" s="315"/>
      <c r="S44" s="315"/>
      <c r="T44" s="315"/>
      <c r="U44" s="315"/>
      <c r="V44" s="315"/>
      <c r="W44" s="315"/>
      <c r="X44" s="315"/>
      <c r="Y44" s="315"/>
      <c r="Z44" s="315"/>
      <c r="AA44" s="315"/>
      <c r="AB44" s="315"/>
      <c r="AC44" s="315"/>
      <c r="AD44" s="315"/>
      <c r="AE44" s="315"/>
      <c r="AF44" s="315"/>
      <c r="AG44" s="315"/>
      <c r="AH44" s="315"/>
      <c r="AI44" s="315"/>
      <c r="AJ44" s="315"/>
      <c r="AK44" s="315"/>
      <c r="AL44" s="315"/>
      <c r="AM44" s="315"/>
      <c r="AN44" s="315"/>
      <c r="AO44" s="315"/>
      <c r="AP44" s="315"/>
      <c r="AQ44" s="315"/>
      <c r="AR44" s="340"/>
      <c r="AS44" s="340"/>
      <c r="AT44" s="340"/>
      <c r="AU44" s="340"/>
      <c r="AV44" s="340"/>
      <c r="AW44" s="340"/>
      <c r="AX44" s="340"/>
      <c r="AY44" s="340"/>
      <c r="AZ44" s="340"/>
      <c r="BA44" s="341"/>
      <c r="BB44" s="341"/>
      <c r="BC44" s="342"/>
      <c r="BD44" s="342"/>
      <c r="BE44" s="342"/>
      <c r="BF44" s="342"/>
      <c r="BG44" s="342"/>
    </row>
    <row r="45" spans="1:59" x14ac:dyDescent="0.3">
      <c r="A45" s="141"/>
      <c r="B45" s="314"/>
      <c r="C45" s="314"/>
      <c r="D45" s="314"/>
      <c r="E45" s="314"/>
      <c r="F45" s="314"/>
      <c r="G45" s="71"/>
      <c r="H45" s="71"/>
      <c r="I45" s="71"/>
      <c r="J45" s="71"/>
      <c r="K45" s="71"/>
      <c r="L45" s="71"/>
      <c r="M45" s="71"/>
      <c r="N45" s="71"/>
      <c r="O45" s="71"/>
      <c r="AR45" s="71"/>
      <c r="AS45" s="71"/>
      <c r="AT45" s="71"/>
      <c r="AU45" s="71"/>
      <c r="AV45" s="71"/>
      <c r="AW45" s="71"/>
      <c r="AX45" s="71"/>
      <c r="AY45" s="71"/>
      <c r="AZ45" s="71"/>
      <c r="BA45" s="72"/>
      <c r="BB45" s="72"/>
      <c r="BC45" s="73"/>
      <c r="BD45" s="73"/>
      <c r="BE45" s="73"/>
      <c r="BF45" s="73"/>
      <c r="BG45" s="73"/>
    </row>
    <row r="46" spans="1:59" x14ac:dyDescent="0.3">
      <c r="A46" s="141"/>
      <c r="B46" s="314"/>
      <c r="C46" s="314"/>
      <c r="D46" s="314"/>
      <c r="E46" s="314"/>
      <c r="F46" s="314"/>
      <c r="G46" s="71"/>
      <c r="H46" s="71"/>
      <c r="I46" s="71"/>
      <c r="J46" s="71"/>
      <c r="K46" s="71"/>
      <c r="L46" s="71"/>
      <c r="M46" s="71"/>
      <c r="N46" s="71"/>
      <c r="O46" s="71"/>
      <c r="AR46" s="71"/>
      <c r="AS46" s="71"/>
      <c r="AT46" s="71"/>
      <c r="AU46" s="71"/>
      <c r="AV46" s="71"/>
      <c r="AW46" s="71"/>
      <c r="AX46" s="71"/>
      <c r="AY46" s="71"/>
      <c r="AZ46" s="71"/>
      <c r="BA46" s="72"/>
      <c r="BB46" s="72"/>
      <c r="BC46" s="73"/>
      <c r="BD46" s="73"/>
      <c r="BE46" s="73"/>
      <c r="BF46" s="73"/>
      <c r="BG46" s="73"/>
    </row>
    <row r="47" spans="1:59" x14ac:dyDescent="0.3">
      <c r="A47" s="141"/>
      <c r="B47" s="314"/>
      <c r="C47" s="314"/>
      <c r="D47" s="314"/>
      <c r="E47" s="314"/>
      <c r="F47" s="314"/>
      <c r="G47" s="71"/>
      <c r="H47" s="71"/>
      <c r="I47" s="71"/>
      <c r="J47" s="71"/>
      <c r="K47" s="71"/>
      <c r="L47" s="71"/>
      <c r="M47" s="71"/>
      <c r="N47" s="71"/>
      <c r="O47" s="71"/>
      <c r="AR47" s="71"/>
      <c r="AS47" s="71"/>
      <c r="AT47" s="71"/>
      <c r="AU47" s="71"/>
      <c r="AV47" s="71"/>
      <c r="AW47" s="71"/>
      <c r="AX47" s="71"/>
      <c r="AY47" s="71"/>
      <c r="AZ47" s="71"/>
      <c r="BA47" s="72"/>
      <c r="BB47" s="72"/>
      <c r="BC47" s="73"/>
      <c r="BD47" s="73"/>
      <c r="BE47" s="73"/>
      <c r="BF47" s="73"/>
      <c r="BG47" s="73"/>
    </row>
    <row r="48" spans="1:59" x14ac:dyDescent="0.3">
      <c r="A48" s="141"/>
      <c r="B48" s="314"/>
      <c r="C48" s="314"/>
      <c r="D48" s="314"/>
      <c r="E48" s="314"/>
      <c r="F48" s="314"/>
      <c r="G48" s="71"/>
      <c r="H48" s="71"/>
      <c r="I48" s="71"/>
      <c r="J48" s="71"/>
      <c r="K48" s="71"/>
      <c r="L48" s="71"/>
      <c r="M48" s="71"/>
      <c r="N48" s="71"/>
      <c r="O48" s="71"/>
      <c r="AR48" s="71"/>
      <c r="AS48" s="71"/>
      <c r="AT48" s="71"/>
      <c r="AU48" s="71"/>
      <c r="AV48" s="71"/>
      <c r="AW48" s="71"/>
      <c r="AX48" s="71"/>
      <c r="AY48" s="71"/>
      <c r="AZ48" s="71"/>
      <c r="BA48" s="72"/>
      <c r="BB48" s="72"/>
      <c r="BC48" s="73"/>
      <c r="BD48" s="73"/>
      <c r="BE48" s="73"/>
      <c r="BF48" s="73"/>
      <c r="BG48" s="73"/>
    </row>
    <row r="49" spans="1:59" x14ac:dyDescent="0.3">
      <c r="A49" s="141"/>
      <c r="B49" s="314"/>
      <c r="C49" s="314"/>
      <c r="D49" s="314"/>
      <c r="E49" s="314"/>
      <c r="F49" s="314"/>
      <c r="G49" s="71"/>
      <c r="H49" s="71"/>
      <c r="I49" s="71"/>
      <c r="J49" s="71"/>
      <c r="K49" s="71"/>
      <c r="L49" s="71"/>
      <c r="M49" s="71"/>
      <c r="N49" s="71"/>
      <c r="O49" s="71"/>
      <c r="AR49" s="71"/>
      <c r="AS49" s="71"/>
      <c r="AT49" s="71"/>
      <c r="AU49" s="71"/>
      <c r="AV49" s="71"/>
      <c r="AW49" s="71"/>
      <c r="AX49" s="71"/>
      <c r="AY49" s="71"/>
      <c r="AZ49" s="71"/>
      <c r="BA49" s="72"/>
      <c r="BB49" s="72"/>
      <c r="BC49" s="73"/>
      <c r="BD49" s="73"/>
      <c r="BE49" s="73"/>
      <c r="BF49" s="73"/>
      <c r="BG49" s="73"/>
    </row>
    <row r="50" spans="1:59" x14ac:dyDescent="0.3">
      <c r="A50" s="141"/>
      <c r="B50" s="314"/>
      <c r="C50" s="314"/>
      <c r="D50" s="314"/>
      <c r="E50" s="314"/>
      <c r="F50" s="314"/>
      <c r="G50" s="71"/>
      <c r="H50" s="71"/>
      <c r="I50" s="71"/>
      <c r="J50" s="71"/>
      <c r="K50" s="71"/>
      <c r="L50" s="71"/>
      <c r="M50" s="71"/>
      <c r="N50" s="71"/>
      <c r="O50" s="71"/>
      <c r="AR50" s="71"/>
      <c r="AS50" s="71"/>
      <c r="AT50" s="71"/>
      <c r="AU50" s="71"/>
      <c r="AV50" s="71"/>
      <c r="AW50" s="71"/>
      <c r="AX50" s="71"/>
      <c r="AY50" s="71"/>
      <c r="AZ50" s="71"/>
      <c r="BA50" s="72"/>
      <c r="BB50" s="72"/>
      <c r="BC50" s="73"/>
      <c r="BD50" s="73"/>
      <c r="BE50" s="73"/>
      <c r="BF50" s="73"/>
      <c r="BG50" s="73"/>
    </row>
    <row r="51" spans="1:59" x14ac:dyDescent="0.3">
      <c r="A51" s="141"/>
      <c r="B51" s="314"/>
      <c r="C51" s="314"/>
      <c r="D51" s="314"/>
      <c r="E51" s="314"/>
      <c r="F51" s="314"/>
      <c r="G51" s="71"/>
      <c r="H51" s="71"/>
      <c r="I51" s="71"/>
      <c r="J51" s="71"/>
      <c r="K51" s="71"/>
      <c r="L51" s="71"/>
      <c r="M51" s="71"/>
      <c r="N51" s="71"/>
      <c r="O51" s="71"/>
      <c r="AR51" s="71"/>
      <c r="AS51" s="71"/>
      <c r="AT51" s="71"/>
      <c r="AU51" s="71"/>
      <c r="AV51" s="71"/>
      <c r="AW51" s="71"/>
      <c r="AX51" s="71"/>
      <c r="AY51" s="71"/>
      <c r="AZ51" s="71"/>
      <c r="BA51" s="72"/>
      <c r="BB51" s="72"/>
      <c r="BC51" s="73"/>
      <c r="BD51" s="73"/>
      <c r="BE51" s="73"/>
      <c r="BF51" s="73"/>
      <c r="BG51" s="73"/>
    </row>
    <row r="52" spans="1:59" x14ac:dyDescent="0.3">
      <c r="A52" s="141"/>
      <c r="B52" s="314"/>
      <c r="C52" s="314"/>
      <c r="D52" s="314"/>
      <c r="E52" s="314"/>
      <c r="F52" s="314"/>
      <c r="G52" s="71"/>
      <c r="H52" s="71"/>
      <c r="I52" s="71"/>
      <c r="J52" s="71"/>
      <c r="K52" s="71"/>
      <c r="L52" s="71"/>
      <c r="M52" s="71"/>
      <c r="N52" s="71"/>
      <c r="O52" s="71"/>
      <c r="AR52" s="71"/>
      <c r="AS52" s="71"/>
      <c r="AT52" s="71"/>
      <c r="AU52" s="71"/>
      <c r="AV52" s="71"/>
      <c r="AW52" s="71"/>
      <c r="AX52" s="71"/>
      <c r="AY52" s="71"/>
      <c r="AZ52" s="71"/>
      <c r="BA52" s="72"/>
      <c r="BB52" s="72"/>
      <c r="BC52" s="73"/>
      <c r="BD52" s="73"/>
      <c r="BE52" s="73"/>
      <c r="BF52" s="73"/>
      <c r="BG52" s="73"/>
    </row>
    <row r="53" spans="1:59" x14ac:dyDescent="0.3">
      <c r="A53" s="141"/>
      <c r="B53" s="314"/>
      <c r="C53" s="314"/>
      <c r="D53" s="314"/>
      <c r="E53" s="314"/>
      <c r="F53" s="314"/>
      <c r="G53" s="71"/>
      <c r="H53" s="71"/>
      <c r="I53" s="71"/>
      <c r="J53" s="71"/>
      <c r="K53" s="71"/>
      <c r="L53" s="71"/>
      <c r="M53" s="71"/>
      <c r="N53" s="71"/>
      <c r="O53" s="71"/>
      <c r="AR53" s="71"/>
      <c r="AS53" s="71"/>
      <c r="AT53" s="71"/>
      <c r="AU53" s="71"/>
      <c r="AV53" s="71"/>
      <c r="AW53" s="71"/>
      <c r="AX53" s="71"/>
      <c r="AY53" s="71"/>
      <c r="AZ53" s="71"/>
      <c r="BA53" s="72"/>
      <c r="BB53" s="72"/>
      <c r="BC53" s="73"/>
      <c r="BD53" s="73"/>
      <c r="BE53" s="73"/>
      <c r="BF53" s="73"/>
      <c r="BG53" s="73"/>
    </row>
    <row r="54" spans="1:59" x14ac:dyDescent="0.3">
      <c r="A54" s="141"/>
      <c r="B54" s="314"/>
      <c r="C54" s="314"/>
      <c r="D54" s="314"/>
      <c r="E54" s="314"/>
      <c r="F54" s="314"/>
      <c r="G54" s="71"/>
      <c r="H54" s="71"/>
      <c r="I54" s="71"/>
      <c r="J54" s="71"/>
      <c r="K54" s="71"/>
      <c r="L54" s="71"/>
      <c r="M54" s="71"/>
      <c r="N54" s="71"/>
      <c r="O54" s="71"/>
      <c r="AR54" s="71"/>
      <c r="AS54" s="71"/>
      <c r="AT54" s="71"/>
      <c r="AU54" s="71"/>
      <c r="AV54" s="71"/>
      <c r="AW54" s="71"/>
      <c r="AX54" s="71"/>
      <c r="AY54" s="71"/>
      <c r="AZ54" s="71"/>
      <c r="BA54" s="72"/>
      <c r="BB54" s="72"/>
      <c r="BC54" s="73"/>
      <c r="BD54" s="73"/>
      <c r="BE54" s="73"/>
      <c r="BF54" s="73"/>
      <c r="BG54" s="73"/>
    </row>
    <row r="55" spans="1:59" x14ac:dyDescent="0.3">
      <c r="A55" s="141"/>
      <c r="B55" s="314"/>
      <c r="C55" s="314"/>
      <c r="D55" s="314"/>
      <c r="E55" s="314"/>
      <c r="F55" s="314"/>
      <c r="G55" s="71"/>
      <c r="H55" s="71"/>
      <c r="I55" s="71"/>
      <c r="J55" s="71"/>
      <c r="K55" s="71"/>
      <c r="L55" s="71"/>
      <c r="M55" s="71"/>
      <c r="N55" s="71"/>
      <c r="O55" s="71"/>
      <c r="AR55" s="71"/>
      <c r="AS55" s="71"/>
      <c r="AT55" s="71"/>
      <c r="AU55" s="71"/>
      <c r="AV55" s="71"/>
      <c r="AW55" s="71"/>
      <c r="AX55" s="71"/>
      <c r="AY55" s="71"/>
      <c r="AZ55" s="71"/>
      <c r="BA55" s="72"/>
      <c r="BB55" s="72"/>
      <c r="BC55" s="73"/>
      <c r="BD55" s="73"/>
      <c r="BE55" s="73"/>
      <c r="BF55" s="73"/>
      <c r="BG55" s="73"/>
    </row>
    <row r="56" spans="1:59" x14ac:dyDescent="0.3">
      <c r="A56" s="141"/>
      <c r="B56" s="314"/>
      <c r="C56" s="314"/>
      <c r="D56" s="314"/>
      <c r="E56" s="314"/>
      <c r="F56" s="314"/>
      <c r="G56" s="71"/>
      <c r="H56" s="71"/>
      <c r="I56" s="71"/>
      <c r="J56" s="71"/>
      <c r="K56" s="71"/>
      <c r="L56" s="71"/>
      <c r="M56" s="71"/>
      <c r="N56" s="71"/>
      <c r="O56" s="71"/>
      <c r="AR56" s="71"/>
      <c r="AS56" s="71"/>
      <c r="AT56" s="71"/>
      <c r="AU56" s="71"/>
      <c r="AV56" s="71"/>
      <c r="AW56" s="71"/>
      <c r="AX56" s="71"/>
      <c r="AY56" s="71"/>
      <c r="AZ56" s="71"/>
      <c r="BA56" s="72"/>
      <c r="BB56" s="72"/>
      <c r="BC56" s="73"/>
      <c r="BD56" s="73"/>
      <c r="BE56" s="73"/>
      <c r="BF56" s="73"/>
      <c r="BG56" s="73"/>
    </row>
    <row r="57" spans="1:59" x14ac:dyDescent="0.3">
      <c r="A57" s="141"/>
      <c r="B57" s="314"/>
      <c r="C57" s="314"/>
      <c r="D57" s="314"/>
      <c r="E57" s="314"/>
      <c r="F57" s="314"/>
      <c r="G57" s="71"/>
      <c r="H57" s="71"/>
      <c r="I57" s="71"/>
      <c r="J57" s="71"/>
      <c r="K57" s="71"/>
      <c r="L57" s="71"/>
      <c r="M57" s="71"/>
      <c r="N57" s="71"/>
      <c r="O57" s="71"/>
      <c r="AR57" s="71"/>
      <c r="AS57" s="71"/>
      <c r="AT57" s="71"/>
      <c r="AU57" s="71"/>
      <c r="AV57" s="71"/>
      <c r="AW57" s="71"/>
      <c r="AX57" s="71"/>
      <c r="AY57" s="71"/>
      <c r="AZ57" s="71"/>
      <c r="BA57" s="72"/>
      <c r="BB57" s="72"/>
      <c r="BC57" s="73"/>
      <c r="BD57" s="73"/>
      <c r="BE57" s="73"/>
      <c r="BF57" s="73"/>
      <c r="BG57" s="73"/>
    </row>
    <row r="58" spans="1:59" x14ac:dyDescent="0.3">
      <c r="A58" s="141"/>
      <c r="B58" s="314"/>
      <c r="C58" s="314"/>
      <c r="D58" s="314"/>
      <c r="E58" s="314"/>
      <c r="F58" s="314"/>
      <c r="G58" s="71"/>
      <c r="H58" s="71"/>
      <c r="I58" s="71"/>
      <c r="J58" s="71"/>
      <c r="K58" s="71"/>
      <c r="L58" s="71"/>
      <c r="M58" s="71"/>
      <c r="N58" s="71"/>
      <c r="O58" s="71"/>
      <c r="AR58" s="71"/>
      <c r="AS58" s="71"/>
      <c r="AT58" s="71"/>
      <c r="AU58" s="71"/>
      <c r="AV58" s="71"/>
      <c r="AW58" s="71"/>
      <c r="AX58" s="71"/>
      <c r="AY58" s="71"/>
      <c r="AZ58" s="71"/>
      <c r="BA58" s="72"/>
      <c r="BB58" s="72"/>
      <c r="BC58" s="73"/>
      <c r="BD58" s="73"/>
      <c r="BE58" s="73"/>
      <c r="BF58" s="73"/>
      <c r="BG58" s="73"/>
    </row>
    <row r="59" spans="1:59" x14ac:dyDescent="0.3">
      <c r="A59" s="141"/>
      <c r="B59" s="314"/>
      <c r="C59" s="314"/>
      <c r="D59" s="314"/>
      <c r="E59" s="314"/>
      <c r="F59" s="314"/>
      <c r="G59" s="71"/>
      <c r="H59" s="71"/>
      <c r="I59" s="71"/>
      <c r="J59" s="71"/>
      <c r="K59" s="71"/>
      <c r="L59" s="71"/>
      <c r="M59" s="71"/>
      <c r="N59" s="71"/>
      <c r="O59" s="71"/>
      <c r="AR59" s="71"/>
      <c r="AS59" s="71"/>
      <c r="AT59" s="71"/>
      <c r="AU59" s="71"/>
      <c r="AV59" s="71"/>
      <c r="AW59" s="71"/>
      <c r="AX59" s="71"/>
      <c r="AY59" s="71"/>
      <c r="AZ59" s="71"/>
      <c r="BA59" s="72"/>
      <c r="BB59" s="72"/>
      <c r="BC59" s="73"/>
      <c r="BD59" s="73"/>
      <c r="BE59" s="73"/>
      <c r="BF59" s="73"/>
      <c r="BG59" s="73"/>
    </row>
    <row r="60" spans="1:59" x14ac:dyDescent="0.3">
      <c r="A60" s="141"/>
      <c r="B60" s="314"/>
      <c r="C60" s="314"/>
      <c r="D60" s="314"/>
      <c r="E60" s="314"/>
      <c r="F60" s="314"/>
      <c r="G60" s="71"/>
      <c r="H60" s="71"/>
      <c r="I60" s="71"/>
      <c r="J60" s="71"/>
      <c r="K60" s="71"/>
      <c r="L60" s="71"/>
      <c r="M60" s="71"/>
      <c r="N60" s="71"/>
      <c r="O60" s="71"/>
      <c r="AR60" s="71"/>
      <c r="AS60" s="71"/>
      <c r="AT60" s="71"/>
      <c r="AU60" s="71"/>
      <c r="AV60" s="71"/>
      <c r="AW60" s="71"/>
      <c r="AX60" s="71"/>
      <c r="AY60" s="71"/>
      <c r="AZ60" s="71"/>
      <c r="BA60" s="72"/>
      <c r="BB60" s="72"/>
      <c r="BC60" s="73"/>
      <c r="BD60" s="73"/>
      <c r="BE60" s="73"/>
      <c r="BF60" s="73"/>
      <c r="BG60" s="73"/>
    </row>
    <row r="61" spans="1:59" x14ac:dyDescent="0.3">
      <c r="A61" s="141"/>
      <c r="B61" s="314"/>
      <c r="C61" s="314"/>
      <c r="D61" s="314"/>
      <c r="E61" s="314"/>
      <c r="F61" s="314"/>
      <c r="G61" s="71"/>
      <c r="H61" s="71"/>
      <c r="I61" s="71"/>
      <c r="J61" s="71"/>
      <c r="K61" s="71"/>
      <c r="L61" s="71"/>
      <c r="M61" s="71"/>
      <c r="N61" s="71"/>
      <c r="O61" s="71"/>
      <c r="AR61" s="71"/>
      <c r="AS61" s="71"/>
      <c r="AT61" s="71"/>
      <c r="AU61" s="71"/>
      <c r="AV61" s="71"/>
      <c r="AW61" s="71"/>
      <c r="AX61" s="71"/>
      <c r="AY61" s="71"/>
      <c r="AZ61" s="71"/>
      <c r="BA61" s="72"/>
      <c r="BB61" s="72"/>
      <c r="BC61" s="73"/>
      <c r="BD61" s="73"/>
      <c r="BE61" s="73"/>
      <c r="BF61" s="73"/>
      <c r="BG61" s="73"/>
    </row>
    <row r="62" spans="1:59" x14ac:dyDescent="0.3">
      <c r="A62" s="141"/>
      <c r="B62" s="314"/>
      <c r="C62" s="314"/>
      <c r="D62" s="314"/>
      <c r="E62" s="314"/>
      <c r="F62" s="314"/>
      <c r="G62" s="71"/>
      <c r="H62" s="71"/>
      <c r="I62" s="71"/>
      <c r="J62" s="71"/>
      <c r="K62" s="71"/>
      <c r="L62" s="71"/>
      <c r="M62" s="71"/>
      <c r="N62" s="71"/>
      <c r="O62" s="71"/>
      <c r="AR62" s="71"/>
      <c r="AS62" s="71"/>
      <c r="AT62" s="71"/>
      <c r="AU62" s="71"/>
      <c r="AV62" s="71"/>
      <c r="AW62" s="71"/>
      <c r="AX62" s="71"/>
      <c r="AY62" s="71"/>
      <c r="AZ62" s="71"/>
      <c r="BA62" s="72"/>
      <c r="BB62" s="72"/>
      <c r="BC62" s="73"/>
      <c r="BD62" s="73"/>
      <c r="BE62" s="73"/>
      <c r="BF62" s="73"/>
      <c r="BG62" s="73"/>
    </row>
    <row r="63" spans="1:59" x14ac:dyDescent="0.3">
      <c r="A63" s="141"/>
      <c r="B63" s="314"/>
      <c r="C63" s="314"/>
      <c r="D63" s="314"/>
      <c r="E63" s="314"/>
      <c r="F63" s="314"/>
      <c r="G63" s="71"/>
      <c r="H63" s="71"/>
      <c r="I63" s="71"/>
      <c r="J63" s="71"/>
      <c r="K63" s="71"/>
      <c r="L63" s="71"/>
      <c r="M63" s="71"/>
      <c r="N63" s="71"/>
      <c r="O63" s="71"/>
      <c r="AR63" s="71"/>
      <c r="AS63" s="71"/>
      <c r="AT63" s="71"/>
      <c r="AU63" s="71"/>
      <c r="AV63" s="71"/>
      <c r="AW63" s="71"/>
      <c r="AX63" s="71"/>
      <c r="AY63" s="71"/>
      <c r="AZ63" s="71"/>
      <c r="BA63" s="72"/>
      <c r="BB63" s="72"/>
      <c r="BC63" s="73"/>
      <c r="BD63" s="73"/>
      <c r="BE63" s="73"/>
      <c r="BF63" s="73"/>
      <c r="BG63" s="73"/>
    </row>
    <row r="64" spans="1:59" x14ac:dyDescent="0.3">
      <c r="A64" s="141"/>
      <c r="B64" s="314"/>
      <c r="C64" s="314"/>
      <c r="D64" s="314"/>
      <c r="E64" s="314"/>
      <c r="F64" s="314"/>
      <c r="G64" s="71"/>
      <c r="H64" s="71"/>
      <c r="I64" s="71"/>
      <c r="J64" s="71"/>
      <c r="K64" s="71"/>
      <c r="L64" s="71"/>
      <c r="M64" s="71"/>
      <c r="N64" s="71"/>
      <c r="O64" s="71"/>
      <c r="AR64" s="71"/>
      <c r="AS64" s="71"/>
      <c r="AT64" s="71"/>
      <c r="AU64" s="71"/>
      <c r="AV64" s="71"/>
      <c r="AW64" s="71"/>
      <c r="AX64" s="71"/>
      <c r="AY64" s="71"/>
      <c r="AZ64" s="71"/>
      <c r="BA64" s="72"/>
      <c r="BB64" s="72"/>
      <c r="BC64" s="73"/>
      <c r="BD64" s="73"/>
      <c r="BE64" s="73"/>
      <c r="BF64" s="73"/>
      <c r="BG64" s="73"/>
    </row>
    <row r="65" spans="1:59" x14ac:dyDescent="0.3">
      <c r="A65" s="141"/>
      <c r="B65" s="314"/>
      <c r="C65" s="314"/>
      <c r="D65" s="314"/>
      <c r="E65" s="314"/>
      <c r="F65" s="314"/>
      <c r="G65" s="71"/>
      <c r="H65" s="71"/>
      <c r="I65" s="71"/>
      <c r="J65" s="71"/>
      <c r="K65" s="71"/>
      <c r="L65" s="71"/>
      <c r="M65" s="71"/>
      <c r="N65" s="71"/>
      <c r="O65" s="71"/>
      <c r="AR65" s="71"/>
      <c r="AS65" s="71"/>
      <c r="AT65" s="71"/>
      <c r="AU65" s="71"/>
      <c r="AV65" s="71"/>
      <c r="AW65" s="71"/>
      <c r="AX65" s="71"/>
      <c r="AY65" s="71"/>
      <c r="AZ65" s="71"/>
      <c r="BA65" s="72"/>
      <c r="BB65" s="72"/>
      <c r="BC65" s="73"/>
      <c r="BD65" s="73"/>
      <c r="BE65" s="73"/>
      <c r="BF65" s="73"/>
      <c r="BG65" s="73"/>
    </row>
    <row r="66" spans="1:59" x14ac:dyDescent="0.3">
      <c r="A66" s="141"/>
      <c r="B66" s="314"/>
      <c r="C66" s="314"/>
      <c r="D66" s="314"/>
      <c r="E66" s="314"/>
      <c r="F66" s="314"/>
      <c r="G66" s="71"/>
      <c r="H66" s="71"/>
      <c r="I66" s="71"/>
      <c r="J66" s="71"/>
      <c r="K66" s="71"/>
      <c r="L66" s="71"/>
      <c r="M66" s="71"/>
      <c r="N66" s="71"/>
      <c r="O66" s="71"/>
      <c r="AR66" s="71"/>
      <c r="AS66" s="71"/>
      <c r="AT66" s="71"/>
      <c r="AU66" s="71"/>
      <c r="AV66" s="71"/>
      <c r="AW66" s="71"/>
      <c r="AX66" s="71"/>
      <c r="AY66" s="71"/>
      <c r="AZ66" s="71"/>
      <c r="BA66" s="72"/>
      <c r="BB66" s="72"/>
      <c r="BC66" s="73"/>
      <c r="BD66" s="73"/>
      <c r="BE66" s="73"/>
      <c r="BF66" s="73"/>
      <c r="BG66" s="73"/>
    </row>
    <row r="67" spans="1:59" x14ac:dyDescent="0.3">
      <c r="A67" s="141"/>
      <c r="B67" s="314"/>
      <c r="C67" s="314"/>
      <c r="D67" s="314"/>
      <c r="E67" s="314"/>
      <c r="F67" s="314"/>
      <c r="G67" s="71"/>
      <c r="H67" s="71"/>
      <c r="I67" s="71"/>
      <c r="J67" s="71"/>
      <c r="K67" s="71"/>
      <c r="L67" s="71"/>
      <c r="M67" s="71"/>
      <c r="N67" s="71"/>
      <c r="O67" s="71"/>
      <c r="AR67" s="71"/>
      <c r="AS67" s="71"/>
      <c r="AT67" s="71"/>
      <c r="AU67" s="71"/>
      <c r="AV67" s="71"/>
      <c r="AW67" s="71"/>
      <c r="AX67" s="71"/>
      <c r="AY67" s="71"/>
      <c r="AZ67" s="71"/>
      <c r="BA67" s="72"/>
      <c r="BB67" s="72"/>
      <c r="BC67" s="73"/>
      <c r="BD67" s="73"/>
      <c r="BE67" s="73"/>
      <c r="BF67" s="73"/>
      <c r="BG67" s="73"/>
    </row>
    <row r="68" spans="1:59" x14ac:dyDescent="0.3">
      <c r="A68" s="141"/>
      <c r="B68" s="314"/>
      <c r="C68" s="314"/>
      <c r="D68" s="314"/>
      <c r="E68" s="314"/>
      <c r="F68" s="314"/>
      <c r="G68" s="71"/>
      <c r="H68" s="71"/>
      <c r="I68" s="71"/>
      <c r="J68" s="71"/>
      <c r="K68" s="71"/>
      <c r="L68" s="71"/>
      <c r="M68" s="71"/>
      <c r="N68" s="71"/>
      <c r="O68" s="71"/>
      <c r="AR68" s="71"/>
      <c r="AS68" s="71"/>
      <c r="AT68" s="71"/>
      <c r="AU68" s="71"/>
      <c r="AV68" s="71"/>
      <c r="AW68" s="71"/>
      <c r="AX68" s="71"/>
      <c r="AY68" s="71"/>
      <c r="AZ68" s="71"/>
      <c r="BA68" s="72"/>
      <c r="BB68" s="72"/>
      <c r="BC68" s="73"/>
      <c r="BD68" s="73"/>
      <c r="BE68" s="73"/>
      <c r="BF68" s="73"/>
      <c r="BG68" s="73"/>
    </row>
    <row r="69" spans="1:59" x14ac:dyDescent="0.3">
      <c r="A69" s="141"/>
      <c r="B69" s="314"/>
      <c r="C69" s="314"/>
      <c r="D69" s="314"/>
      <c r="E69" s="314"/>
      <c r="F69" s="314"/>
      <c r="G69" s="71"/>
      <c r="H69" s="71"/>
      <c r="I69" s="71"/>
      <c r="J69" s="71"/>
      <c r="K69" s="71"/>
      <c r="L69" s="71"/>
      <c r="M69" s="71"/>
      <c r="N69" s="71"/>
      <c r="O69" s="71"/>
      <c r="AR69" s="71"/>
      <c r="AS69" s="71"/>
      <c r="AT69" s="71"/>
      <c r="AU69" s="71"/>
      <c r="AV69" s="71"/>
      <c r="AW69" s="71"/>
      <c r="AX69" s="71"/>
      <c r="AY69" s="71"/>
      <c r="AZ69" s="71"/>
      <c r="BA69" s="72"/>
      <c r="BB69" s="72"/>
      <c r="BC69" s="73"/>
      <c r="BD69" s="73"/>
      <c r="BE69" s="73"/>
      <c r="BF69" s="73"/>
      <c r="BG69" s="73"/>
    </row>
    <row r="70" spans="1:59" x14ac:dyDescent="0.3">
      <c r="A70" s="141"/>
      <c r="B70" s="314"/>
      <c r="C70" s="314"/>
      <c r="D70" s="314"/>
      <c r="E70" s="314"/>
      <c r="F70" s="314"/>
      <c r="G70" s="71"/>
      <c r="H70" s="71"/>
      <c r="I70" s="71"/>
      <c r="J70" s="71"/>
      <c r="K70" s="71"/>
      <c r="L70" s="71"/>
      <c r="M70" s="71"/>
      <c r="N70" s="71"/>
      <c r="O70" s="71"/>
      <c r="AR70" s="71"/>
      <c r="AS70" s="71"/>
      <c r="AT70" s="71"/>
      <c r="AU70" s="71"/>
      <c r="AV70" s="71"/>
      <c r="AW70" s="71"/>
      <c r="AX70" s="71"/>
      <c r="AY70" s="71"/>
      <c r="AZ70" s="71"/>
      <c r="BA70" s="72"/>
      <c r="BB70" s="72"/>
      <c r="BC70" s="73"/>
      <c r="BD70" s="73"/>
      <c r="BE70" s="73"/>
      <c r="BF70" s="73"/>
      <c r="BG70" s="73"/>
    </row>
    <row r="71" spans="1:59" x14ac:dyDescent="0.3">
      <c r="A71" s="141"/>
      <c r="B71" s="314"/>
      <c r="C71" s="314"/>
      <c r="D71" s="314"/>
      <c r="E71" s="314"/>
      <c r="F71" s="314"/>
      <c r="G71" s="71"/>
      <c r="H71" s="71"/>
      <c r="I71" s="71"/>
      <c r="J71" s="71"/>
      <c r="K71" s="71"/>
      <c r="L71" s="71"/>
      <c r="M71" s="71"/>
      <c r="N71" s="71"/>
      <c r="O71" s="71"/>
      <c r="AR71" s="71"/>
      <c r="AS71" s="71"/>
      <c r="AT71" s="71"/>
      <c r="AU71" s="71"/>
      <c r="AV71" s="71"/>
      <c r="AW71" s="71"/>
      <c r="AX71" s="71"/>
      <c r="AY71" s="71"/>
      <c r="AZ71" s="71"/>
      <c r="BA71" s="72"/>
      <c r="BB71" s="72"/>
      <c r="BC71" s="73"/>
      <c r="BD71" s="73"/>
      <c r="BE71" s="73"/>
      <c r="BF71" s="73"/>
      <c r="BG71" s="73"/>
    </row>
    <row r="72" spans="1:59" x14ac:dyDescent="0.3">
      <c r="A72" s="141"/>
      <c r="B72" s="314"/>
      <c r="C72" s="314"/>
      <c r="D72" s="314"/>
      <c r="E72" s="314"/>
      <c r="F72" s="314"/>
      <c r="G72" s="71"/>
      <c r="H72" s="71"/>
      <c r="I72" s="71"/>
      <c r="J72" s="71"/>
      <c r="K72" s="71"/>
      <c r="L72" s="71"/>
      <c r="M72" s="71"/>
      <c r="N72" s="71"/>
      <c r="O72" s="71"/>
      <c r="AR72" s="71"/>
      <c r="AS72" s="71"/>
      <c r="AT72" s="71"/>
      <c r="AU72" s="71"/>
      <c r="AV72" s="71"/>
      <c r="AW72" s="71"/>
      <c r="AX72" s="71"/>
      <c r="AY72" s="71"/>
      <c r="AZ72" s="71"/>
      <c r="BA72" s="72"/>
      <c r="BB72" s="72"/>
      <c r="BC72" s="73"/>
      <c r="BD72" s="73"/>
      <c r="BE72" s="73"/>
      <c r="BF72" s="73"/>
      <c r="BG72" s="73"/>
    </row>
    <row r="73" spans="1:59" x14ac:dyDescent="0.3">
      <c r="A73" s="141"/>
      <c r="B73" s="314"/>
      <c r="C73" s="314"/>
      <c r="D73" s="314"/>
      <c r="E73" s="314"/>
      <c r="F73" s="314"/>
      <c r="G73" s="71"/>
      <c r="H73" s="71"/>
      <c r="I73" s="71"/>
      <c r="J73" s="71"/>
      <c r="K73" s="71"/>
      <c r="L73" s="71"/>
      <c r="M73" s="71"/>
      <c r="N73" s="71"/>
      <c r="O73" s="71"/>
      <c r="AR73" s="71"/>
      <c r="AS73" s="71"/>
      <c r="AT73" s="71"/>
      <c r="AU73" s="71"/>
      <c r="AV73" s="71"/>
      <c r="AW73" s="71"/>
      <c r="AX73" s="71"/>
      <c r="AY73" s="71"/>
      <c r="AZ73" s="71"/>
      <c r="BA73" s="72"/>
      <c r="BB73" s="72"/>
      <c r="BC73" s="73"/>
      <c r="BD73" s="73"/>
      <c r="BE73" s="73"/>
      <c r="BF73" s="73"/>
      <c r="BG73" s="73"/>
    </row>
    <row r="74" spans="1:59" x14ac:dyDescent="0.3">
      <c r="A74" s="141"/>
      <c r="B74" s="314"/>
      <c r="C74" s="314"/>
      <c r="D74" s="314"/>
      <c r="E74" s="314"/>
      <c r="F74" s="314"/>
      <c r="G74" s="71"/>
      <c r="H74" s="71"/>
      <c r="I74" s="71"/>
      <c r="J74" s="71"/>
      <c r="K74" s="71"/>
      <c r="L74" s="71"/>
      <c r="M74" s="71"/>
      <c r="N74" s="71"/>
      <c r="O74" s="71"/>
      <c r="AR74" s="71"/>
      <c r="AS74" s="71"/>
      <c r="AT74" s="71"/>
      <c r="AU74" s="71"/>
      <c r="AV74" s="71"/>
      <c r="AW74" s="71"/>
      <c r="AX74" s="71"/>
      <c r="AY74" s="71"/>
      <c r="AZ74" s="71"/>
      <c r="BA74" s="72"/>
      <c r="BB74" s="72"/>
      <c r="BC74" s="73"/>
      <c r="BD74" s="73"/>
      <c r="BE74" s="73"/>
      <c r="BF74" s="73"/>
      <c r="BG74" s="73"/>
    </row>
    <row r="75" spans="1:59" x14ac:dyDescent="0.3">
      <c r="A75" s="141"/>
      <c r="B75" s="314"/>
      <c r="C75" s="314"/>
      <c r="D75" s="314"/>
      <c r="E75" s="314"/>
      <c r="F75" s="314"/>
      <c r="G75" s="71"/>
      <c r="H75" s="71"/>
      <c r="I75" s="71"/>
      <c r="J75" s="71"/>
      <c r="K75" s="71"/>
      <c r="L75" s="71"/>
      <c r="M75" s="71"/>
      <c r="N75" s="71"/>
      <c r="O75" s="71"/>
      <c r="AR75" s="71"/>
      <c r="AS75" s="71"/>
      <c r="AT75" s="71"/>
      <c r="AU75" s="71"/>
      <c r="AV75" s="71"/>
      <c r="AW75" s="71"/>
      <c r="AX75" s="71"/>
      <c r="AY75" s="71"/>
      <c r="AZ75" s="71"/>
      <c r="BA75" s="72"/>
      <c r="BB75" s="72"/>
      <c r="BC75" s="73"/>
      <c r="BD75" s="73"/>
      <c r="BE75" s="73"/>
      <c r="BF75" s="73"/>
      <c r="BG75" s="73"/>
    </row>
    <row r="76" spans="1:59" x14ac:dyDescent="0.3">
      <c r="A76" s="141"/>
      <c r="B76" s="314"/>
      <c r="C76" s="314"/>
      <c r="D76" s="314"/>
      <c r="E76" s="314"/>
      <c r="F76" s="314"/>
      <c r="G76" s="71"/>
      <c r="H76" s="71"/>
      <c r="I76" s="71"/>
      <c r="J76" s="71"/>
      <c r="K76" s="71"/>
      <c r="L76" s="71"/>
      <c r="M76" s="71"/>
      <c r="N76" s="71"/>
      <c r="O76" s="71"/>
      <c r="AR76" s="71"/>
      <c r="AS76" s="71"/>
      <c r="AT76" s="71"/>
      <c r="AU76" s="71"/>
      <c r="AV76" s="71"/>
      <c r="AW76" s="71"/>
      <c r="AX76" s="71"/>
      <c r="AY76" s="71"/>
      <c r="AZ76" s="71"/>
      <c r="BA76" s="72"/>
      <c r="BB76" s="72"/>
      <c r="BC76" s="73"/>
      <c r="BD76" s="73"/>
      <c r="BE76" s="73"/>
      <c r="BF76" s="73"/>
      <c r="BG76" s="73"/>
    </row>
    <row r="77" spans="1:59" x14ac:dyDescent="0.3">
      <c r="A77" s="141"/>
      <c r="B77" s="314"/>
      <c r="C77" s="314"/>
      <c r="D77" s="314"/>
      <c r="E77" s="314"/>
      <c r="F77" s="314"/>
      <c r="G77" s="71"/>
      <c r="H77" s="71"/>
      <c r="I77" s="71"/>
      <c r="J77" s="71"/>
      <c r="K77" s="71"/>
      <c r="L77" s="71"/>
      <c r="M77" s="71"/>
      <c r="N77" s="71"/>
      <c r="O77" s="71"/>
      <c r="AR77" s="71"/>
      <c r="AS77" s="71"/>
      <c r="AT77" s="71"/>
      <c r="AU77" s="71"/>
      <c r="AV77" s="71"/>
      <c r="AW77" s="71"/>
      <c r="AX77" s="71"/>
      <c r="AY77" s="71"/>
      <c r="AZ77" s="71"/>
      <c r="BA77" s="72"/>
      <c r="BB77" s="72"/>
      <c r="BC77" s="73"/>
      <c r="BD77" s="73"/>
      <c r="BE77" s="73"/>
      <c r="BF77" s="73"/>
      <c r="BG77" s="73"/>
    </row>
    <row r="78" spans="1:59" x14ac:dyDescent="0.3">
      <c r="A78" s="141"/>
      <c r="B78" s="314"/>
      <c r="C78" s="314"/>
      <c r="D78" s="314"/>
      <c r="E78" s="314"/>
      <c r="F78" s="314"/>
      <c r="G78" s="71"/>
      <c r="H78" s="71"/>
      <c r="I78" s="71"/>
      <c r="J78" s="71"/>
      <c r="K78" s="71"/>
      <c r="L78" s="71"/>
      <c r="M78" s="71"/>
      <c r="N78" s="71"/>
      <c r="O78" s="71"/>
      <c r="AR78" s="71"/>
      <c r="AS78" s="71"/>
      <c r="AT78" s="71"/>
      <c r="AU78" s="71"/>
      <c r="AV78" s="71"/>
      <c r="AW78" s="71"/>
      <c r="AX78" s="71"/>
      <c r="AY78" s="71"/>
      <c r="AZ78" s="71"/>
      <c r="BA78" s="72"/>
      <c r="BB78" s="72"/>
      <c r="BC78" s="73"/>
      <c r="BD78" s="73"/>
      <c r="BE78" s="73"/>
      <c r="BF78" s="73"/>
      <c r="BG78" s="73"/>
    </row>
    <row r="79" spans="1:59" x14ac:dyDescent="0.3">
      <c r="A79" s="141"/>
      <c r="B79" s="314"/>
      <c r="C79" s="314"/>
      <c r="D79" s="314"/>
      <c r="E79" s="314"/>
      <c r="F79" s="314"/>
      <c r="G79" s="71"/>
      <c r="H79" s="71"/>
      <c r="I79" s="71"/>
      <c r="J79" s="71"/>
      <c r="K79" s="71"/>
      <c r="L79" s="71"/>
      <c r="M79" s="71"/>
      <c r="N79" s="71"/>
      <c r="O79" s="71"/>
      <c r="AR79" s="71"/>
      <c r="AS79" s="71"/>
      <c r="AT79" s="71"/>
      <c r="AU79" s="71"/>
      <c r="AV79" s="71"/>
      <c r="AW79" s="71"/>
      <c r="AX79" s="71"/>
      <c r="AY79" s="71"/>
      <c r="AZ79" s="71"/>
      <c r="BA79" s="72"/>
      <c r="BB79" s="72"/>
      <c r="BC79" s="73"/>
      <c r="BD79" s="73"/>
      <c r="BE79" s="73"/>
      <c r="BF79" s="73"/>
      <c r="BG79" s="73"/>
    </row>
    <row r="80" spans="1:59" x14ac:dyDescent="0.3">
      <c r="A80" s="141"/>
      <c r="B80" s="314"/>
      <c r="C80" s="314"/>
      <c r="D80" s="314"/>
      <c r="E80" s="314"/>
      <c r="F80" s="314"/>
      <c r="G80" s="71"/>
      <c r="H80" s="71"/>
      <c r="I80" s="71"/>
      <c r="J80" s="71"/>
      <c r="K80" s="71"/>
      <c r="L80" s="71"/>
      <c r="M80" s="71"/>
      <c r="N80" s="71"/>
      <c r="O80" s="71"/>
      <c r="AR80" s="71"/>
      <c r="AS80" s="71"/>
      <c r="AT80" s="71"/>
      <c r="AU80" s="71"/>
      <c r="AV80" s="71"/>
      <c r="AW80" s="71"/>
      <c r="AX80" s="71"/>
      <c r="AY80" s="71"/>
      <c r="AZ80" s="71"/>
      <c r="BA80" s="72"/>
      <c r="BB80" s="72"/>
      <c r="BC80" s="73"/>
      <c r="BD80" s="73"/>
      <c r="BE80" s="73"/>
      <c r="BF80" s="73"/>
      <c r="BG80" s="73"/>
    </row>
    <row r="81" spans="1:59" x14ac:dyDescent="0.3">
      <c r="A81" s="141"/>
      <c r="B81" s="314"/>
      <c r="C81" s="314"/>
      <c r="D81" s="314"/>
      <c r="E81" s="314"/>
      <c r="F81" s="314"/>
      <c r="G81" s="71"/>
      <c r="H81" s="71"/>
      <c r="I81" s="71"/>
      <c r="J81" s="71"/>
      <c r="K81" s="71"/>
      <c r="L81" s="71"/>
      <c r="M81" s="71"/>
      <c r="N81" s="71"/>
      <c r="O81" s="71"/>
      <c r="AR81" s="71"/>
      <c r="AS81" s="71"/>
      <c r="AT81" s="71"/>
      <c r="AU81" s="71"/>
      <c r="AV81" s="71"/>
      <c r="AW81" s="71"/>
      <c r="AX81" s="71"/>
      <c r="AY81" s="71"/>
      <c r="AZ81" s="71"/>
      <c r="BA81" s="72"/>
      <c r="BB81" s="72"/>
      <c r="BC81" s="73"/>
      <c r="BD81" s="73"/>
      <c r="BE81" s="73"/>
      <c r="BF81" s="73"/>
      <c r="BG81" s="73"/>
    </row>
    <row r="82" spans="1:59" x14ac:dyDescent="0.3">
      <c r="A82" s="141"/>
      <c r="B82" s="314"/>
      <c r="C82" s="314"/>
      <c r="D82" s="314"/>
      <c r="E82" s="314"/>
      <c r="F82" s="314"/>
      <c r="G82" s="71"/>
      <c r="H82" s="71"/>
      <c r="I82" s="71"/>
      <c r="J82" s="71"/>
      <c r="K82" s="71"/>
      <c r="L82" s="71"/>
      <c r="M82" s="71"/>
      <c r="N82" s="71"/>
      <c r="O82" s="71"/>
      <c r="AR82" s="71"/>
      <c r="AS82" s="71"/>
      <c r="AT82" s="71"/>
      <c r="AU82" s="71"/>
      <c r="AV82" s="71"/>
      <c r="AW82" s="71"/>
      <c r="AX82" s="71"/>
      <c r="AY82" s="71"/>
      <c r="AZ82" s="71"/>
      <c r="BA82" s="72"/>
      <c r="BB82" s="72"/>
      <c r="BC82" s="73"/>
      <c r="BD82" s="73"/>
      <c r="BE82" s="73"/>
      <c r="BF82" s="73"/>
      <c r="BG82" s="73"/>
    </row>
    <row r="83" spans="1:59" x14ac:dyDescent="0.3">
      <c r="A83" s="141"/>
      <c r="B83" s="314"/>
      <c r="C83" s="314"/>
      <c r="D83" s="314"/>
      <c r="E83" s="314"/>
      <c r="F83" s="314"/>
      <c r="G83" s="71"/>
      <c r="H83" s="71"/>
      <c r="I83" s="71"/>
      <c r="J83" s="71"/>
      <c r="K83" s="71"/>
      <c r="L83" s="71"/>
      <c r="M83" s="71"/>
      <c r="N83" s="71"/>
      <c r="O83" s="71"/>
      <c r="AR83" s="71"/>
      <c r="AS83" s="71"/>
      <c r="AT83" s="71"/>
      <c r="AU83" s="71"/>
      <c r="AV83" s="71"/>
      <c r="AW83" s="71"/>
      <c r="AX83" s="71"/>
      <c r="AY83" s="71"/>
      <c r="AZ83" s="71"/>
      <c r="BA83" s="72"/>
      <c r="BB83" s="72"/>
      <c r="BC83" s="73"/>
      <c r="BD83" s="73"/>
      <c r="BE83" s="73"/>
      <c r="BF83" s="73"/>
      <c r="BG83" s="73"/>
    </row>
    <row r="84" spans="1:59" x14ac:dyDescent="0.3">
      <c r="A84" s="141"/>
      <c r="B84" s="314"/>
      <c r="C84" s="314"/>
      <c r="D84" s="314"/>
      <c r="E84" s="314"/>
      <c r="F84" s="314"/>
      <c r="G84" s="71"/>
      <c r="H84" s="71"/>
      <c r="I84" s="71"/>
      <c r="J84" s="71"/>
      <c r="K84" s="71"/>
      <c r="L84" s="71"/>
      <c r="M84" s="71"/>
      <c r="N84" s="71"/>
      <c r="O84" s="71"/>
      <c r="AR84" s="71"/>
      <c r="AS84" s="71"/>
      <c r="AT84" s="71"/>
      <c r="AU84" s="71"/>
      <c r="AV84" s="71"/>
      <c r="AW84" s="71"/>
      <c r="AX84" s="71"/>
      <c r="AY84" s="71"/>
      <c r="AZ84" s="71"/>
      <c r="BA84" s="72"/>
      <c r="BB84" s="72"/>
      <c r="BC84" s="73"/>
      <c r="BD84" s="73"/>
      <c r="BE84" s="73"/>
      <c r="BF84" s="73"/>
      <c r="BG84" s="73"/>
    </row>
    <row r="85" spans="1:59" x14ac:dyDescent="0.3">
      <c r="A85" s="141"/>
      <c r="B85" s="314"/>
      <c r="C85" s="314"/>
      <c r="D85" s="314"/>
      <c r="E85" s="314"/>
      <c r="F85" s="314"/>
      <c r="G85" s="71"/>
      <c r="H85" s="71"/>
      <c r="I85" s="71"/>
      <c r="J85" s="71"/>
      <c r="K85" s="71"/>
      <c r="L85" s="71"/>
      <c r="M85" s="71"/>
      <c r="N85" s="71"/>
      <c r="O85" s="71"/>
      <c r="AR85" s="71"/>
      <c r="AS85" s="71"/>
      <c r="AT85" s="71"/>
      <c r="AU85" s="71"/>
      <c r="AV85" s="71"/>
      <c r="AW85" s="71"/>
      <c r="AX85" s="71"/>
      <c r="AY85" s="71"/>
      <c r="AZ85" s="71"/>
      <c r="BA85" s="72"/>
      <c r="BB85" s="72"/>
      <c r="BC85" s="73"/>
      <c r="BD85" s="73"/>
      <c r="BE85" s="73"/>
      <c r="BF85" s="73"/>
      <c r="BG85" s="73"/>
    </row>
    <row r="86" spans="1:59" x14ac:dyDescent="0.3">
      <c r="A86" s="141"/>
      <c r="B86" s="314"/>
      <c r="C86" s="314"/>
      <c r="D86" s="314"/>
      <c r="E86" s="314"/>
      <c r="F86" s="314"/>
      <c r="G86" s="71"/>
      <c r="H86" s="71"/>
      <c r="I86" s="71"/>
      <c r="J86" s="71"/>
      <c r="K86" s="71"/>
      <c r="L86" s="71"/>
      <c r="M86" s="71"/>
      <c r="N86" s="71"/>
      <c r="O86" s="71"/>
      <c r="AR86" s="71"/>
      <c r="AS86" s="71"/>
      <c r="AT86" s="71"/>
      <c r="AU86" s="71"/>
      <c r="AV86" s="71"/>
      <c r="AW86" s="71"/>
      <c r="AX86" s="71"/>
      <c r="AY86" s="71"/>
      <c r="AZ86" s="71"/>
      <c r="BA86" s="72"/>
      <c r="BB86" s="72"/>
      <c r="BC86" s="73"/>
      <c r="BD86" s="73"/>
      <c r="BE86" s="73"/>
      <c r="BF86" s="73"/>
      <c r="BG86" s="73"/>
    </row>
    <row r="87" spans="1:59" x14ac:dyDescent="0.3">
      <c r="A87" s="141"/>
      <c r="B87" s="314"/>
      <c r="C87" s="314"/>
      <c r="D87" s="314"/>
      <c r="E87" s="314"/>
      <c r="F87" s="314"/>
      <c r="G87" s="71"/>
      <c r="H87" s="71"/>
      <c r="I87" s="71"/>
      <c r="J87" s="71"/>
      <c r="K87" s="71"/>
      <c r="L87" s="71"/>
      <c r="M87" s="71"/>
      <c r="N87" s="71"/>
      <c r="O87" s="71"/>
      <c r="AR87" s="71"/>
      <c r="AS87" s="71"/>
      <c r="AT87" s="71"/>
      <c r="AU87" s="71"/>
      <c r="AV87" s="71"/>
      <c r="AW87" s="71"/>
      <c r="AX87" s="71"/>
      <c r="AY87" s="71"/>
      <c r="AZ87" s="71"/>
      <c r="BA87" s="72"/>
      <c r="BB87" s="72"/>
      <c r="BC87" s="73"/>
      <c r="BD87" s="73"/>
      <c r="BE87" s="73"/>
      <c r="BF87" s="73"/>
      <c r="BG87" s="73"/>
    </row>
    <row r="88" spans="1:59" x14ac:dyDescent="0.3">
      <c r="A88" s="141"/>
      <c r="B88" s="314"/>
      <c r="C88" s="314"/>
      <c r="D88" s="314"/>
      <c r="E88" s="314"/>
      <c r="F88" s="314"/>
      <c r="G88" s="71"/>
      <c r="H88" s="71"/>
      <c r="I88" s="71"/>
      <c r="J88" s="71"/>
      <c r="K88" s="71"/>
      <c r="L88" s="71"/>
      <c r="M88" s="71"/>
      <c r="N88" s="71"/>
      <c r="O88" s="71"/>
      <c r="AR88" s="71"/>
      <c r="AS88" s="71"/>
      <c r="AT88" s="71"/>
      <c r="AU88" s="71"/>
      <c r="AV88" s="71"/>
      <c r="AW88" s="71"/>
      <c r="AX88" s="71"/>
      <c r="AY88" s="71"/>
      <c r="AZ88" s="71"/>
      <c r="BA88" s="72"/>
      <c r="BB88" s="72"/>
      <c r="BC88" s="73"/>
      <c r="BD88" s="73"/>
      <c r="BE88" s="73"/>
      <c r="BF88" s="73"/>
      <c r="BG88" s="73"/>
    </row>
    <row r="89" spans="1:59" x14ac:dyDescent="0.3">
      <c r="A89" s="141"/>
      <c r="B89" s="314"/>
      <c r="C89" s="314"/>
      <c r="D89" s="314"/>
      <c r="E89" s="314"/>
      <c r="F89" s="314"/>
      <c r="G89" s="71"/>
      <c r="H89" s="71"/>
      <c r="I89" s="71"/>
      <c r="J89" s="71"/>
      <c r="K89" s="71"/>
      <c r="L89" s="71"/>
      <c r="M89" s="71"/>
      <c r="N89" s="71"/>
      <c r="O89" s="71"/>
      <c r="AR89" s="71"/>
      <c r="AS89" s="71"/>
      <c r="AT89" s="71"/>
      <c r="AU89" s="71"/>
      <c r="AV89" s="71"/>
      <c r="AW89" s="71"/>
      <c r="AX89" s="71"/>
      <c r="AY89" s="71"/>
      <c r="AZ89" s="71"/>
      <c r="BA89" s="72"/>
      <c r="BB89" s="72"/>
      <c r="BC89" s="73"/>
      <c r="BD89" s="73"/>
      <c r="BE89" s="73"/>
      <c r="BF89" s="73"/>
      <c r="BG89" s="73"/>
    </row>
    <row r="90" spans="1:59" x14ac:dyDescent="0.3">
      <c r="A90" s="141"/>
      <c r="B90" s="314"/>
      <c r="C90" s="314"/>
      <c r="D90" s="314"/>
      <c r="E90" s="314"/>
      <c r="F90" s="314"/>
      <c r="G90" s="71"/>
      <c r="H90" s="71"/>
      <c r="I90" s="71"/>
      <c r="J90" s="71"/>
      <c r="K90" s="71"/>
      <c r="L90" s="71"/>
      <c r="M90" s="71"/>
      <c r="N90" s="71"/>
      <c r="O90" s="71"/>
      <c r="AR90" s="71"/>
      <c r="AS90" s="71"/>
      <c r="AT90" s="71"/>
      <c r="AU90" s="71"/>
      <c r="AV90" s="71"/>
      <c r="AW90" s="71"/>
      <c r="AX90" s="71"/>
      <c r="AY90" s="71"/>
      <c r="AZ90" s="71"/>
      <c r="BA90" s="72"/>
      <c r="BB90" s="72"/>
      <c r="BC90" s="73"/>
      <c r="BD90" s="73"/>
      <c r="BE90" s="73"/>
      <c r="BF90" s="73"/>
      <c r="BG90" s="73"/>
    </row>
    <row r="91" spans="1:59" x14ac:dyDescent="0.3">
      <c r="A91" s="141"/>
      <c r="B91" s="314"/>
      <c r="C91" s="314"/>
      <c r="D91" s="314"/>
      <c r="E91" s="314"/>
      <c r="F91" s="314"/>
      <c r="G91" s="71"/>
      <c r="H91" s="71"/>
      <c r="I91" s="71"/>
      <c r="J91" s="71"/>
      <c r="K91" s="71"/>
      <c r="L91" s="71"/>
      <c r="M91" s="71"/>
      <c r="N91" s="71"/>
      <c r="O91" s="71"/>
      <c r="AR91" s="71"/>
      <c r="AS91" s="71"/>
      <c r="AT91" s="71"/>
      <c r="AU91" s="71"/>
      <c r="AV91" s="71"/>
      <c r="AW91" s="71"/>
      <c r="AX91" s="71"/>
      <c r="AY91" s="71"/>
      <c r="AZ91" s="71"/>
      <c r="BA91" s="72"/>
      <c r="BB91" s="72"/>
      <c r="BC91" s="73"/>
      <c r="BD91" s="73"/>
      <c r="BE91" s="73"/>
      <c r="BF91" s="73"/>
      <c r="BG91" s="73"/>
    </row>
    <row r="92" spans="1:59" x14ac:dyDescent="0.3">
      <c r="A92" s="141"/>
      <c r="B92" s="314"/>
      <c r="C92" s="314"/>
      <c r="D92" s="314"/>
      <c r="E92" s="314"/>
      <c r="F92" s="314"/>
      <c r="G92" s="71"/>
      <c r="H92" s="71"/>
      <c r="I92" s="71"/>
      <c r="J92" s="71"/>
      <c r="K92" s="71"/>
      <c r="L92" s="71"/>
      <c r="M92" s="71"/>
      <c r="N92" s="71"/>
      <c r="O92" s="71"/>
      <c r="AR92" s="71"/>
      <c r="AS92" s="71"/>
      <c r="AT92" s="71"/>
      <c r="AU92" s="71"/>
      <c r="AV92" s="71"/>
      <c r="AW92" s="71"/>
      <c r="AX92" s="71"/>
      <c r="AY92" s="71"/>
      <c r="AZ92" s="71"/>
      <c r="BA92" s="72"/>
      <c r="BB92" s="72"/>
      <c r="BC92" s="73"/>
      <c r="BD92" s="73"/>
      <c r="BE92" s="73"/>
      <c r="BF92" s="73"/>
      <c r="BG92" s="73"/>
    </row>
    <row r="93" spans="1:59" x14ac:dyDescent="0.3">
      <c r="A93" s="141"/>
      <c r="B93" s="314"/>
      <c r="C93" s="314"/>
      <c r="D93" s="314"/>
      <c r="E93" s="314"/>
      <c r="F93" s="314"/>
      <c r="G93" s="71"/>
      <c r="H93" s="71"/>
      <c r="I93" s="71"/>
      <c r="J93" s="71"/>
      <c r="K93" s="71"/>
      <c r="L93" s="71"/>
      <c r="M93" s="71"/>
      <c r="N93" s="71"/>
      <c r="O93" s="71"/>
      <c r="AR93" s="71"/>
      <c r="AS93" s="71"/>
      <c r="AT93" s="71"/>
      <c r="AU93" s="71"/>
      <c r="AV93" s="71"/>
      <c r="AW93" s="71"/>
      <c r="AX93" s="71"/>
      <c r="AY93" s="71"/>
      <c r="AZ93" s="71"/>
      <c r="BA93" s="72"/>
      <c r="BB93" s="72"/>
      <c r="BC93" s="73"/>
      <c r="BD93" s="73"/>
      <c r="BE93" s="73"/>
      <c r="BF93" s="73"/>
      <c r="BG93" s="73"/>
    </row>
    <row r="94" spans="1:59" x14ac:dyDescent="0.3">
      <c r="A94" s="141"/>
      <c r="B94" s="314"/>
      <c r="C94" s="314"/>
      <c r="D94" s="314"/>
      <c r="E94" s="314"/>
      <c r="F94" s="314"/>
      <c r="G94" s="71"/>
      <c r="H94" s="71"/>
      <c r="I94" s="71"/>
      <c r="J94" s="71"/>
      <c r="K94" s="71"/>
      <c r="L94" s="71"/>
      <c r="M94" s="71"/>
      <c r="N94" s="71"/>
      <c r="O94" s="71"/>
      <c r="AR94" s="71"/>
      <c r="AS94" s="71"/>
      <c r="AT94" s="71"/>
      <c r="AU94" s="71"/>
      <c r="AV94" s="71"/>
      <c r="AW94" s="71"/>
      <c r="AX94" s="71"/>
      <c r="AY94" s="71"/>
      <c r="AZ94" s="71"/>
      <c r="BA94" s="72"/>
      <c r="BB94" s="72"/>
      <c r="BC94" s="73"/>
      <c r="BD94" s="73"/>
      <c r="BE94" s="73"/>
      <c r="BF94" s="73"/>
      <c r="BG94" s="73"/>
    </row>
    <row r="95" spans="1:59" x14ac:dyDescent="0.3">
      <c r="A95" s="141"/>
      <c r="B95" s="314"/>
      <c r="C95" s="314"/>
      <c r="D95" s="314"/>
      <c r="E95" s="314"/>
      <c r="F95" s="314"/>
      <c r="G95" s="71"/>
      <c r="H95" s="71"/>
      <c r="I95" s="71"/>
      <c r="J95" s="71"/>
      <c r="K95" s="71"/>
      <c r="L95" s="71"/>
      <c r="M95" s="71"/>
      <c r="N95" s="71"/>
      <c r="O95" s="71"/>
      <c r="AR95" s="71"/>
      <c r="AS95" s="71"/>
      <c r="AT95" s="71"/>
      <c r="AU95" s="71"/>
      <c r="AV95" s="71"/>
      <c r="AW95" s="71"/>
      <c r="AX95" s="71"/>
      <c r="AY95" s="71"/>
      <c r="AZ95" s="71"/>
      <c r="BA95" s="72"/>
      <c r="BB95" s="72"/>
      <c r="BC95" s="73"/>
      <c r="BD95" s="73"/>
      <c r="BE95" s="73"/>
      <c r="BF95" s="73"/>
      <c r="BG95" s="73"/>
    </row>
    <row r="96" spans="1:59" x14ac:dyDescent="0.3">
      <c r="A96" s="141"/>
      <c r="B96" s="314"/>
      <c r="C96" s="314"/>
      <c r="D96" s="314"/>
      <c r="E96" s="314"/>
      <c r="F96" s="314"/>
      <c r="G96" s="71"/>
      <c r="H96" s="71"/>
      <c r="I96" s="71"/>
      <c r="J96" s="71"/>
      <c r="K96" s="71"/>
      <c r="L96" s="71"/>
      <c r="M96" s="71"/>
      <c r="N96" s="71"/>
      <c r="O96" s="71"/>
      <c r="AR96" s="71"/>
      <c r="AS96" s="71"/>
      <c r="AT96" s="71"/>
      <c r="AU96" s="71"/>
      <c r="AV96" s="71"/>
      <c r="AW96" s="71"/>
      <c r="AX96" s="71"/>
      <c r="AY96" s="71"/>
      <c r="AZ96" s="71"/>
      <c r="BA96" s="72"/>
      <c r="BB96" s="72"/>
      <c r="BC96" s="73"/>
      <c r="BD96" s="73"/>
      <c r="BE96" s="73"/>
      <c r="BF96" s="73"/>
      <c r="BG96" s="73"/>
    </row>
    <row r="97" spans="1:59" x14ac:dyDescent="0.3">
      <c r="A97" s="141"/>
      <c r="B97" s="314"/>
      <c r="C97" s="314"/>
      <c r="D97" s="314"/>
      <c r="E97" s="314"/>
      <c r="F97" s="314"/>
      <c r="G97" s="71"/>
      <c r="H97" s="71"/>
      <c r="I97" s="71"/>
      <c r="J97" s="71"/>
      <c r="K97" s="71"/>
      <c r="L97" s="71"/>
      <c r="M97" s="71"/>
      <c r="N97" s="71"/>
      <c r="O97" s="71"/>
      <c r="AR97" s="71"/>
      <c r="AS97" s="71"/>
      <c r="AT97" s="71"/>
      <c r="AU97" s="71"/>
      <c r="AV97" s="71"/>
      <c r="AW97" s="71"/>
      <c r="AX97" s="71"/>
      <c r="AY97" s="71"/>
      <c r="AZ97" s="71"/>
      <c r="BA97" s="72"/>
      <c r="BB97" s="72"/>
      <c r="BC97" s="73"/>
      <c r="BD97" s="73"/>
      <c r="BE97" s="73"/>
      <c r="BF97" s="73"/>
      <c r="BG97" s="73"/>
    </row>
    <row r="98" spans="1:59" x14ac:dyDescent="0.3">
      <c r="A98" s="141"/>
      <c r="B98" s="314"/>
      <c r="C98" s="314"/>
      <c r="D98" s="314"/>
      <c r="E98" s="314"/>
      <c r="F98" s="314"/>
      <c r="G98" s="71"/>
      <c r="H98" s="71"/>
      <c r="I98" s="71"/>
      <c r="J98" s="71"/>
      <c r="K98" s="71"/>
      <c r="L98" s="71"/>
      <c r="M98" s="71"/>
      <c r="N98" s="71"/>
      <c r="O98" s="71"/>
      <c r="AR98" s="71"/>
      <c r="AS98" s="71"/>
      <c r="AT98" s="71"/>
      <c r="AU98" s="71"/>
      <c r="AV98" s="71"/>
      <c r="AW98" s="71"/>
      <c r="AX98" s="71"/>
      <c r="AY98" s="71"/>
      <c r="AZ98" s="71"/>
      <c r="BA98" s="72"/>
      <c r="BB98" s="72"/>
      <c r="BC98" s="73"/>
      <c r="BD98" s="73"/>
      <c r="BE98" s="73"/>
      <c r="BF98" s="73"/>
      <c r="BG98" s="73"/>
    </row>
    <row r="99" spans="1:59" x14ac:dyDescent="0.3">
      <c r="A99" s="141"/>
      <c r="B99" s="314"/>
      <c r="C99" s="314"/>
      <c r="D99" s="314"/>
      <c r="E99" s="314"/>
      <c r="F99" s="314"/>
      <c r="G99" s="71"/>
      <c r="H99" s="71"/>
      <c r="I99" s="71"/>
      <c r="J99" s="71"/>
      <c r="K99" s="71"/>
      <c r="L99" s="71"/>
      <c r="M99" s="71"/>
      <c r="N99" s="71"/>
      <c r="O99" s="71"/>
      <c r="AR99" s="71"/>
      <c r="AS99" s="71"/>
      <c r="AT99" s="71"/>
      <c r="AU99" s="71"/>
      <c r="AV99" s="71"/>
      <c r="AW99" s="71"/>
      <c r="AX99" s="71"/>
      <c r="AY99" s="71"/>
      <c r="AZ99" s="71"/>
      <c r="BA99" s="72"/>
      <c r="BB99" s="72"/>
      <c r="BC99" s="73"/>
      <c r="BD99" s="73"/>
      <c r="BE99" s="73"/>
      <c r="BF99" s="73"/>
      <c r="BG99" s="73"/>
    </row>
    <row r="100" spans="1:59" x14ac:dyDescent="0.3">
      <c r="A100" s="141"/>
      <c r="B100" s="314"/>
      <c r="C100" s="314"/>
      <c r="D100" s="314"/>
      <c r="E100" s="314"/>
      <c r="F100" s="314"/>
      <c r="G100" s="71"/>
      <c r="H100" s="71"/>
      <c r="I100" s="71"/>
      <c r="J100" s="71"/>
      <c r="K100" s="71"/>
      <c r="L100" s="71"/>
      <c r="M100" s="71"/>
      <c r="N100" s="71"/>
      <c r="O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2"/>
      <c r="BB100" s="72"/>
      <c r="BC100" s="73"/>
      <c r="BD100" s="73"/>
      <c r="BE100" s="73"/>
      <c r="BF100" s="73"/>
      <c r="BG100" s="73"/>
    </row>
    <row r="101" spans="1:59" x14ac:dyDescent="0.3">
      <c r="A101" s="141"/>
      <c r="B101" s="314"/>
      <c r="C101" s="314"/>
      <c r="D101" s="314"/>
      <c r="E101" s="314"/>
      <c r="F101" s="314"/>
      <c r="G101" s="71"/>
      <c r="H101" s="71"/>
      <c r="I101" s="71"/>
      <c r="J101" s="71"/>
      <c r="K101" s="71"/>
      <c r="L101" s="71"/>
      <c r="M101" s="71"/>
      <c r="N101" s="71"/>
      <c r="O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2"/>
      <c r="BB101" s="72"/>
      <c r="BC101" s="73"/>
      <c r="BD101" s="73"/>
      <c r="BE101" s="73"/>
      <c r="BF101" s="73"/>
      <c r="BG101" s="73"/>
    </row>
    <row r="102" spans="1:59" x14ac:dyDescent="0.3">
      <c r="A102" s="141"/>
      <c r="B102" s="314"/>
      <c r="C102" s="314"/>
      <c r="D102" s="314"/>
      <c r="E102" s="314"/>
      <c r="F102" s="314"/>
      <c r="G102" s="71"/>
      <c r="H102" s="71"/>
      <c r="I102" s="71"/>
      <c r="J102" s="71"/>
      <c r="K102" s="71"/>
      <c r="L102" s="71"/>
      <c r="M102" s="71"/>
      <c r="N102" s="71"/>
      <c r="O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2"/>
      <c r="BB102" s="72"/>
      <c r="BC102" s="73"/>
      <c r="BD102" s="73"/>
      <c r="BE102" s="73"/>
      <c r="BF102" s="73"/>
      <c r="BG102" s="73"/>
    </row>
    <row r="103" spans="1:59" x14ac:dyDescent="0.3">
      <c r="A103" s="141"/>
      <c r="B103" s="314"/>
      <c r="C103" s="314"/>
      <c r="D103" s="314"/>
      <c r="E103" s="314"/>
      <c r="F103" s="314"/>
      <c r="G103" s="71"/>
      <c r="H103" s="71"/>
      <c r="I103" s="71"/>
      <c r="J103" s="71"/>
      <c r="K103" s="71"/>
      <c r="L103" s="71"/>
      <c r="M103" s="71"/>
      <c r="N103" s="71"/>
      <c r="O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2"/>
      <c r="BB103" s="72"/>
      <c r="BC103" s="73"/>
      <c r="BD103" s="73"/>
      <c r="BE103" s="73"/>
      <c r="BF103" s="73"/>
      <c r="BG103" s="73"/>
    </row>
    <row r="104" spans="1:59" x14ac:dyDescent="0.3">
      <c r="A104" s="141"/>
      <c r="B104" s="314"/>
      <c r="C104" s="314"/>
      <c r="D104" s="314"/>
      <c r="E104" s="314"/>
      <c r="F104" s="314"/>
      <c r="G104" s="71"/>
      <c r="H104" s="71"/>
      <c r="I104" s="71"/>
      <c r="J104" s="71"/>
      <c r="K104" s="71"/>
      <c r="L104" s="71"/>
      <c r="M104" s="71"/>
      <c r="N104" s="71"/>
      <c r="O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2"/>
      <c r="BB104" s="72"/>
      <c r="BC104" s="73"/>
      <c r="BD104" s="73"/>
      <c r="BE104" s="73"/>
      <c r="BF104" s="73"/>
      <c r="BG104" s="73"/>
    </row>
    <row r="105" spans="1:59" x14ac:dyDescent="0.3">
      <c r="A105" s="141"/>
      <c r="B105" s="314"/>
      <c r="C105" s="314"/>
      <c r="D105" s="314"/>
      <c r="E105" s="314"/>
      <c r="F105" s="314"/>
      <c r="G105" s="71"/>
      <c r="H105" s="71"/>
      <c r="I105" s="71"/>
      <c r="J105" s="71"/>
      <c r="K105" s="71"/>
      <c r="L105" s="71"/>
      <c r="M105" s="71"/>
      <c r="N105" s="71"/>
      <c r="O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2"/>
      <c r="BB105" s="72"/>
      <c r="BC105" s="73"/>
      <c r="BD105" s="73"/>
      <c r="BE105" s="73"/>
      <c r="BF105" s="73"/>
      <c r="BG105" s="73"/>
    </row>
    <row r="106" spans="1:59" x14ac:dyDescent="0.3">
      <c r="A106" s="141"/>
      <c r="B106" s="314"/>
      <c r="C106" s="314"/>
      <c r="D106" s="314"/>
      <c r="E106" s="314"/>
      <c r="F106" s="314"/>
      <c r="G106" s="71"/>
      <c r="H106" s="71"/>
      <c r="I106" s="71"/>
      <c r="J106" s="71"/>
      <c r="K106" s="71"/>
      <c r="L106" s="71"/>
      <c r="M106" s="71"/>
      <c r="N106" s="71"/>
      <c r="O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2"/>
      <c r="BB106" s="72"/>
      <c r="BC106" s="73"/>
      <c r="BD106" s="73"/>
      <c r="BE106" s="73"/>
      <c r="BF106" s="73"/>
      <c r="BG106" s="73"/>
    </row>
    <row r="107" spans="1:59" x14ac:dyDescent="0.3">
      <c r="A107" s="141"/>
      <c r="B107" s="314"/>
      <c r="C107" s="314"/>
      <c r="D107" s="314"/>
      <c r="E107" s="314"/>
      <c r="F107" s="314"/>
      <c r="G107" s="71"/>
      <c r="H107" s="71"/>
      <c r="I107" s="71"/>
      <c r="J107" s="71"/>
      <c r="K107" s="71"/>
      <c r="L107" s="71"/>
      <c r="M107" s="71"/>
      <c r="N107" s="71"/>
      <c r="O107" s="71"/>
      <c r="AR107" s="71"/>
      <c r="AS107" s="71"/>
      <c r="AT107" s="71"/>
      <c r="AU107" s="71"/>
      <c r="AV107" s="71"/>
      <c r="AW107" s="71"/>
      <c r="AX107" s="71"/>
      <c r="AY107" s="71"/>
      <c r="AZ107" s="71"/>
      <c r="BA107" s="72"/>
      <c r="BB107" s="72"/>
      <c r="BC107" s="73"/>
      <c r="BD107" s="73"/>
      <c r="BE107" s="73"/>
      <c r="BF107" s="73"/>
      <c r="BG107" s="73"/>
    </row>
    <row r="108" spans="1:59" x14ac:dyDescent="0.3">
      <c r="A108" s="141"/>
      <c r="B108" s="314"/>
      <c r="C108" s="314"/>
      <c r="D108" s="314"/>
      <c r="E108" s="314"/>
      <c r="F108" s="314"/>
      <c r="G108" s="71"/>
      <c r="H108" s="71"/>
      <c r="I108" s="71"/>
      <c r="J108" s="71"/>
      <c r="K108" s="71"/>
      <c r="L108" s="71"/>
      <c r="M108" s="71"/>
      <c r="N108" s="71"/>
      <c r="O108" s="71"/>
      <c r="AR108" s="71"/>
      <c r="AS108" s="71"/>
      <c r="AT108" s="71"/>
      <c r="AU108" s="71"/>
      <c r="AV108" s="71"/>
      <c r="AW108" s="71"/>
      <c r="AX108" s="71"/>
      <c r="AY108" s="71"/>
      <c r="AZ108" s="71"/>
      <c r="BA108" s="72"/>
      <c r="BB108" s="72"/>
      <c r="BC108" s="73"/>
      <c r="BD108" s="73"/>
      <c r="BE108" s="73"/>
      <c r="BF108" s="73"/>
      <c r="BG108" s="73"/>
    </row>
    <row r="109" spans="1:59" x14ac:dyDescent="0.3">
      <c r="A109" s="141"/>
      <c r="B109" s="314"/>
      <c r="C109" s="314"/>
      <c r="D109" s="314"/>
      <c r="E109" s="314"/>
      <c r="F109" s="314"/>
      <c r="G109" s="71"/>
      <c r="H109" s="71"/>
      <c r="I109" s="71"/>
      <c r="J109" s="71"/>
      <c r="K109" s="71"/>
      <c r="L109" s="71"/>
      <c r="M109" s="71"/>
      <c r="N109" s="71"/>
      <c r="O109" s="71"/>
      <c r="AR109" s="71"/>
      <c r="AS109" s="71"/>
      <c r="AT109" s="71"/>
      <c r="AU109" s="71"/>
      <c r="AV109" s="71"/>
      <c r="AW109" s="71"/>
      <c r="AX109" s="71"/>
      <c r="AY109" s="71"/>
      <c r="AZ109" s="71"/>
      <c r="BA109" s="72"/>
      <c r="BB109" s="72"/>
      <c r="BC109" s="73"/>
      <c r="BD109" s="73"/>
      <c r="BE109" s="73"/>
      <c r="BF109" s="73"/>
      <c r="BG109" s="73"/>
    </row>
    <row r="110" spans="1:59" x14ac:dyDescent="0.3">
      <c r="A110" s="141"/>
      <c r="B110" s="314"/>
      <c r="C110" s="314"/>
      <c r="D110" s="314"/>
      <c r="E110" s="314"/>
      <c r="F110" s="314"/>
      <c r="G110" s="71"/>
      <c r="H110" s="71"/>
      <c r="I110" s="71"/>
      <c r="J110" s="71"/>
      <c r="K110" s="71"/>
      <c r="L110" s="71"/>
      <c r="M110" s="71"/>
      <c r="N110" s="71"/>
      <c r="O110" s="71"/>
      <c r="AR110" s="71"/>
      <c r="AS110" s="71"/>
      <c r="AT110" s="71"/>
      <c r="AU110" s="71"/>
      <c r="AV110" s="71"/>
      <c r="AW110" s="71"/>
      <c r="AX110" s="71"/>
      <c r="AY110" s="71"/>
      <c r="AZ110" s="71"/>
      <c r="BA110" s="72"/>
      <c r="BB110" s="72"/>
      <c r="BC110" s="73"/>
      <c r="BD110" s="73"/>
      <c r="BE110" s="73"/>
      <c r="BF110" s="73"/>
      <c r="BG110" s="73"/>
    </row>
    <row r="111" spans="1:59" x14ac:dyDescent="0.3">
      <c r="A111" s="141"/>
      <c r="B111" s="314"/>
      <c r="C111" s="314"/>
      <c r="D111" s="314"/>
      <c r="E111" s="314"/>
      <c r="F111" s="314"/>
      <c r="G111" s="71"/>
      <c r="H111" s="71"/>
      <c r="I111" s="71"/>
      <c r="J111" s="71"/>
      <c r="K111" s="71"/>
      <c r="L111" s="71"/>
      <c r="M111" s="71"/>
      <c r="N111" s="71"/>
      <c r="O111" s="71"/>
      <c r="AR111" s="71"/>
      <c r="AS111" s="71"/>
      <c r="AT111" s="71"/>
      <c r="AU111" s="71"/>
      <c r="AV111" s="71"/>
      <c r="AW111" s="71"/>
      <c r="AX111" s="71"/>
      <c r="AY111" s="71"/>
      <c r="AZ111" s="71"/>
      <c r="BA111" s="72"/>
      <c r="BB111" s="72"/>
      <c r="BC111" s="73"/>
      <c r="BD111" s="73"/>
      <c r="BE111" s="73"/>
      <c r="BF111" s="73"/>
      <c r="BG111" s="73"/>
    </row>
    <row r="112" spans="1:59" x14ac:dyDescent="0.3">
      <c r="A112" s="141"/>
      <c r="B112" s="314"/>
      <c r="C112" s="314"/>
      <c r="D112" s="314"/>
      <c r="E112" s="314"/>
      <c r="F112" s="314"/>
      <c r="G112" s="71"/>
      <c r="H112" s="71"/>
      <c r="I112" s="71"/>
      <c r="J112" s="71"/>
      <c r="K112" s="71"/>
      <c r="L112" s="71"/>
      <c r="M112" s="71"/>
      <c r="N112" s="71"/>
      <c r="O112" s="71"/>
      <c r="AR112" s="71"/>
      <c r="AS112" s="71"/>
      <c r="AT112" s="71"/>
      <c r="AU112" s="71"/>
      <c r="AV112" s="71"/>
      <c r="AW112" s="71"/>
      <c r="AX112" s="71"/>
      <c r="AY112" s="71"/>
      <c r="AZ112" s="71"/>
      <c r="BA112" s="72"/>
      <c r="BB112" s="72"/>
      <c r="BC112" s="73"/>
      <c r="BD112" s="73"/>
      <c r="BE112" s="73"/>
      <c r="BF112" s="73"/>
      <c r="BG112" s="73"/>
    </row>
    <row r="113" spans="1:59" x14ac:dyDescent="0.3">
      <c r="A113" s="141"/>
      <c r="B113" s="314"/>
      <c r="C113" s="314"/>
      <c r="D113" s="314"/>
      <c r="E113" s="314"/>
      <c r="F113" s="314"/>
      <c r="G113" s="71"/>
      <c r="H113" s="71"/>
      <c r="I113" s="71"/>
      <c r="J113" s="71"/>
      <c r="K113" s="71"/>
      <c r="L113" s="71"/>
      <c r="M113" s="71"/>
      <c r="N113" s="71"/>
      <c r="O113" s="71"/>
      <c r="AR113" s="71"/>
      <c r="AS113" s="71"/>
      <c r="AT113" s="71"/>
      <c r="AU113" s="71"/>
      <c r="AV113" s="71"/>
      <c r="AW113" s="71"/>
      <c r="AX113" s="71"/>
      <c r="AY113" s="71"/>
      <c r="AZ113" s="71"/>
      <c r="BA113" s="72"/>
      <c r="BB113" s="72"/>
      <c r="BC113" s="73"/>
      <c r="BD113" s="73"/>
      <c r="BE113" s="73"/>
      <c r="BF113" s="73"/>
      <c r="BG113" s="73"/>
    </row>
    <row r="114" spans="1:59" x14ac:dyDescent="0.3">
      <c r="A114" s="141"/>
      <c r="B114" s="314"/>
      <c r="C114" s="314"/>
      <c r="D114" s="314"/>
      <c r="E114" s="314"/>
      <c r="F114" s="314"/>
      <c r="G114" s="71"/>
      <c r="H114" s="71"/>
      <c r="I114" s="71"/>
      <c r="J114" s="71"/>
      <c r="K114" s="71"/>
      <c r="L114" s="71"/>
      <c r="M114" s="71"/>
      <c r="N114" s="71"/>
      <c r="O114" s="71"/>
      <c r="AR114" s="71"/>
      <c r="AS114" s="71"/>
      <c r="AT114" s="71"/>
      <c r="AU114" s="71"/>
      <c r="AV114" s="71"/>
      <c r="AW114" s="71"/>
      <c r="AX114" s="71"/>
      <c r="AY114" s="71"/>
      <c r="AZ114" s="71"/>
      <c r="BA114" s="72"/>
      <c r="BB114" s="72"/>
      <c r="BC114" s="73"/>
      <c r="BD114" s="73"/>
      <c r="BE114" s="73"/>
      <c r="BF114" s="73"/>
      <c r="BG114" s="73"/>
    </row>
    <row r="115" spans="1:59" x14ac:dyDescent="0.3">
      <c r="A115" s="141"/>
      <c r="B115" s="314"/>
      <c r="C115" s="314"/>
      <c r="D115" s="314"/>
      <c r="E115" s="314"/>
      <c r="F115" s="314"/>
      <c r="G115" s="71"/>
      <c r="H115" s="71"/>
      <c r="I115" s="71"/>
      <c r="J115" s="71"/>
      <c r="K115" s="71"/>
      <c r="L115" s="71"/>
      <c r="M115" s="71"/>
      <c r="N115" s="71"/>
      <c r="O115" s="71"/>
      <c r="AR115" s="71"/>
      <c r="AS115" s="71"/>
      <c r="AT115" s="71"/>
      <c r="AU115" s="71"/>
      <c r="AV115" s="71"/>
      <c r="AW115" s="71"/>
      <c r="AX115" s="71"/>
      <c r="AY115" s="71"/>
      <c r="AZ115" s="71"/>
      <c r="BA115" s="72"/>
      <c r="BB115" s="72"/>
      <c r="BC115" s="73"/>
      <c r="BD115" s="73"/>
      <c r="BE115" s="73"/>
      <c r="BF115" s="73"/>
      <c r="BG115" s="73"/>
    </row>
    <row r="116" spans="1:59" x14ac:dyDescent="0.3">
      <c r="A116" s="141"/>
      <c r="B116" s="314"/>
      <c r="C116" s="314"/>
      <c r="D116" s="314"/>
      <c r="E116" s="314"/>
      <c r="F116" s="314"/>
      <c r="G116" s="71"/>
      <c r="H116" s="71"/>
      <c r="I116" s="71"/>
      <c r="J116" s="71"/>
      <c r="K116" s="71"/>
      <c r="L116" s="71"/>
      <c r="M116" s="71"/>
      <c r="N116" s="71"/>
      <c r="O116" s="71"/>
      <c r="AR116" s="71"/>
      <c r="AS116" s="71"/>
      <c r="AT116" s="71"/>
      <c r="AU116" s="71"/>
      <c r="AV116" s="71"/>
      <c r="AW116" s="71"/>
      <c r="AX116" s="71"/>
      <c r="AY116" s="71"/>
      <c r="AZ116" s="71"/>
      <c r="BA116" s="72"/>
      <c r="BB116" s="72"/>
      <c r="BC116" s="73"/>
      <c r="BD116" s="73"/>
      <c r="BE116" s="73"/>
      <c r="BF116" s="73"/>
      <c r="BG116" s="73"/>
    </row>
    <row r="117" spans="1:59" x14ac:dyDescent="0.3">
      <c r="A117" s="141"/>
      <c r="B117" s="314"/>
      <c r="C117" s="314"/>
      <c r="D117" s="314"/>
      <c r="E117" s="314"/>
      <c r="F117" s="314"/>
      <c r="G117" s="71"/>
      <c r="H117" s="71"/>
      <c r="I117" s="71"/>
      <c r="J117" s="71"/>
      <c r="K117" s="71"/>
      <c r="L117" s="71"/>
      <c r="M117" s="71"/>
      <c r="N117" s="71"/>
      <c r="O117" s="71"/>
      <c r="AR117" s="71"/>
      <c r="AS117" s="71"/>
      <c r="AT117" s="71"/>
      <c r="AU117" s="71"/>
      <c r="AV117" s="71"/>
      <c r="AW117" s="71"/>
      <c r="AX117" s="71"/>
      <c r="AY117" s="71"/>
      <c r="AZ117" s="71"/>
      <c r="BA117" s="72"/>
      <c r="BB117" s="72"/>
      <c r="BC117" s="73"/>
      <c r="BD117" s="73"/>
      <c r="BE117" s="73"/>
      <c r="BF117" s="73"/>
      <c r="BG117" s="73"/>
    </row>
    <row r="118" spans="1:59" x14ac:dyDescent="0.3">
      <c r="A118" s="141"/>
      <c r="B118" s="314"/>
      <c r="C118" s="314"/>
      <c r="D118" s="314"/>
      <c r="E118" s="314"/>
      <c r="F118" s="314"/>
      <c r="G118" s="71"/>
      <c r="H118" s="71"/>
      <c r="I118" s="71"/>
      <c r="J118" s="71"/>
      <c r="K118" s="71"/>
      <c r="L118" s="71"/>
      <c r="M118" s="71"/>
      <c r="N118" s="71"/>
      <c r="O118" s="71"/>
      <c r="AR118" s="71"/>
      <c r="AS118" s="71"/>
      <c r="AT118" s="71"/>
      <c r="AU118" s="71"/>
      <c r="AV118" s="71"/>
      <c r="AW118" s="71"/>
      <c r="AX118" s="71"/>
      <c r="AY118" s="71"/>
      <c r="AZ118" s="71"/>
      <c r="BA118" s="72"/>
      <c r="BB118" s="72"/>
      <c r="BC118" s="73"/>
      <c r="BD118" s="73"/>
      <c r="BE118" s="73"/>
      <c r="BF118" s="73"/>
      <c r="BG118" s="73"/>
    </row>
    <row r="119" spans="1:59" x14ac:dyDescent="0.3">
      <c r="A119" s="141"/>
      <c r="B119" s="314"/>
      <c r="C119" s="314"/>
      <c r="D119" s="314"/>
      <c r="E119" s="314"/>
      <c r="F119" s="314"/>
      <c r="G119" s="71"/>
      <c r="H119" s="71"/>
      <c r="I119" s="71"/>
      <c r="J119" s="71"/>
      <c r="K119" s="71"/>
      <c r="L119" s="71"/>
      <c r="M119" s="71"/>
      <c r="N119" s="71"/>
      <c r="O119" s="71"/>
      <c r="AR119" s="71"/>
      <c r="AS119" s="71"/>
      <c r="AT119" s="71"/>
      <c r="AU119" s="71"/>
      <c r="AV119" s="71"/>
      <c r="AW119" s="71"/>
      <c r="AX119" s="71"/>
      <c r="AY119" s="71"/>
      <c r="AZ119" s="71"/>
      <c r="BA119" s="72"/>
      <c r="BB119" s="72"/>
      <c r="BC119" s="73"/>
      <c r="BD119" s="73"/>
      <c r="BE119" s="73"/>
      <c r="BF119" s="73"/>
      <c r="BG119" s="73"/>
    </row>
    <row r="120" spans="1:59" x14ac:dyDescent="0.3">
      <c r="A120" s="141"/>
      <c r="B120" s="314"/>
      <c r="C120" s="314"/>
      <c r="D120" s="314"/>
      <c r="E120" s="314"/>
      <c r="F120" s="314"/>
      <c r="G120" s="71"/>
      <c r="H120" s="71"/>
      <c r="I120" s="71"/>
      <c r="J120" s="71"/>
      <c r="K120" s="71"/>
      <c r="L120" s="71"/>
      <c r="M120" s="71"/>
      <c r="N120" s="71"/>
      <c r="O120" s="71"/>
      <c r="AR120" s="71"/>
      <c r="AS120" s="71"/>
      <c r="AT120" s="71"/>
      <c r="AU120" s="71"/>
      <c r="AV120" s="71"/>
      <c r="AW120" s="71"/>
      <c r="AX120" s="71"/>
      <c r="AY120" s="71"/>
      <c r="AZ120" s="71"/>
      <c r="BA120" s="72"/>
      <c r="BB120" s="72"/>
      <c r="BC120" s="73"/>
      <c r="BD120" s="73"/>
      <c r="BE120" s="73"/>
      <c r="BF120" s="73"/>
      <c r="BG120" s="73"/>
    </row>
    <row r="121" spans="1:59" x14ac:dyDescent="0.3">
      <c r="A121" s="141"/>
      <c r="B121" s="314"/>
      <c r="C121" s="314"/>
      <c r="D121" s="314"/>
      <c r="E121" s="314"/>
      <c r="F121" s="314"/>
      <c r="G121" s="71"/>
      <c r="H121" s="71"/>
      <c r="I121" s="71"/>
      <c r="J121" s="71"/>
      <c r="K121" s="71"/>
      <c r="L121" s="71"/>
      <c r="M121" s="71"/>
      <c r="N121" s="71"/>
      <c r="O121" s="71"/>
      <c r="AR121" s="71"/>
      <c r="AS121" s="71"/>
      <c r="AT121" s="71"/>
      <c r="AU121" s="71"/>
      <c r="AV121" s="71"/>
      <c r="AW121" s="71"/>
      <c r="AX121" s="71"/>
      <c r="AY121" s="71"/>
      <c r="AZ121" s="71"/>
      <c r="BA121" s="72"/>
      <c r="BB121" s="72"/>
      <c r="BC121" s="73"/>
      <c r="BD121" s="73"/>
      <c r="BE121" s="73"/>
      <c r="BF121" s="73"/>
      <c r="BG121" s="73"/>
    </row>
    <row r="122" spans="1:59" x14ac:dyDescent="0.3">
      <c r="A122" s="141"/>
      <c r="B122" s="314"/>
      <c r="C122" s="314"/>
      <c r="D122" s="314"/>
      <c r="E122" s="314"/>
      <c r="F122" s="314"/>
      <c r="G122" s="71"/>
      <c r="H122" s="71"/>
      <c r="I122" s="71"/>
      <c r="J122" s="71"/>
      <c r="K122" s="71"/>
      <c r="L122" s="71"/>
      <c r="M122" s="71"/>
      <c r="N122" s="71"/>
      <c r="O122" s="71"/>
      <c r="AR122" s="71"/>
      <c r="AS122" s="71"/>
      <c r="AT122" s="71"/>
      <c r="AU122" s="71"/>
      <c r="AV122" s="71"/>
      <c r="AW122" s="71"/>
      <c r="AX122" s="71"/>
      <c r="AY122" s="71"/>
      <c r="AZ122" s="71"/>
      <c r="BA122" s="72"/>
      <c r="BB122" s="72"/>
      <c r="BC122" s="73"/>
      <c r="BD122" s="73"/>
      <c r="BE122" s="73"/>
      <c r="BF122" s="73"/>
      <c r="BG122" s="73"/>
    </row>
    <row r="123" spans="1:59" x14ac:dyDescent="0.3">
      <c r="A123" s="141"/>
      <c r="B123" s="314"/>
      <c r="C123" s="314"/>
      <c r="D123" s="314"/>
      <c r="E123" s="314"/>
      <c r="F123" s="314"/>
      <c r="G123" s="71"/>
      <c r="H123" s="71"/>
      <c r="I123" s="71"/>
      <c r="J123" s="71"/>
      <c r="K123" s="71"/>
      <c r="L123" s="71"/>
      <c r="M123" s="71"/>
      <c r="N123" s="71"/>
      <c r="O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2"/>
      <c r="BB123" s="72"/>
      <c r="BC123" s="73"/>
      <c r="BD123" s="73"/>
      <c r="BE123" s="73"/>
      <c r="BF123" s="73"/>
      <c r="BG123" s="73"/>
    </row>
    <row r="124" spans="1:59" x14ac:dyDescent="0.3">
      <c r="A124" s="141"/>
      <c r="B124" s="314"/>
      <c r="C124" s="314"/>
      <c r="D124" s="314"/>
      <c r="E124" s="314"/>
      <c r="F124" s="314"/>
      <c r="G124" s="71"/>
      <c r="H124" s="71"/>
      <c r="I124" s="71"/>
      <c r="J124" s="71"/>
      <c r="K124" s="71"/>
      <c r="L124" s="71"/>
      <c r="M124" s="71"/>
      <c r="N124" s="71"/>
      <c r="O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2"/>
      <c r="BB124" s="72"/>
      <c r="BC124" s="73"/>
      <c r="BD124" s="73"/>
      <c r="BE124" s="73"/>
      <c r="BF124" s="73"/>
      <c r="BG124" s="73"/>
    </row>
    <row r="125" spans="1:59" x14ac:dyDescent="0.3">
      <c r="A125" s="141"/>
      <c r="B125" s="314"/>
      <c r="C125" s="314"/>
      <c r="D125" s="314"/>
      <c r="E125" s="314"/>
      <c r="F125" s="314"/>
      <c r="G125" s="71"/>
      <c r="H125" s="71"/>
      <c r="I125" s="71"/>
      <c r="J125" s="71"/>
      <c r="K125" s="71"/>
      <c r="L125" s="71"/>
      <c r="M125" s="71"/>
      <c r="N125" s="71"/>
      <c r="O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2"/>
      <c r="BB125" s="72"/>
      <c r="BC125" s="73"/>
      <c r="BD125" s="73"/>
      <c r="BE125" s="73"/>
      <c r="BF125" s="73"/>
      <c r="BG125" s="73"/>
    </row>
    <row r="126" spans="1:59" x14ac:dyDescent="0.3">
      <c r="A126" s="141"/>
      <c r="B126" s="314"/>
      <c r="C126" s="314"/>
      <c r="D126" s="314"/>
      <c r="E126" s="314"/>
      <c r="F126" s="314"/>
      <c r="G126" s="71"/>
      <c r="H126" s="71"/>
      <c r="I126" s="71"/>
      <c r="J126" s="71"/>
      <c r="K126" s="71"/>
      <c r="L126" s="71"/>
      <c r="M126" s="71"/>
      <c r="N126" s="71"/>
      <c r="O126" s="71"/>
      <c r="AR126" s="71"/>
      <c r="AS126" s="71"/>
      <c r="AT126" s="71"/>
      <c r="AU126" s="71"/>
      <c r="AV126" s="71"/>
      <c r="AW126" s="71"/>
      <c r="AX126" s="71"/>
      <c r="AY126" s="71"/>
      <c r="AZ126" s="71"/>
      <c r="BA126" s="72"/>
      <c r="BB126" s="72"/>
      <c r="BC126" s="73"/>
      <c r="BD126" s="73"/>
      <c r="BE126" s="73"/>
      <c r="BF126" s="73"/>
      <c r="BG126" s="73"/>
    </row>
    <row r="127" spans="1:59" x14ac:dyDescent="0.3">
      <c r="A127" s="141"/>
      <c r="B127" s="314"/>
      <c r="C127" s="314"/>
      <c r="D127" s="314"/>
      <c r="E127" s="314"/>
      <c r="F127" s="314"/>
      <c r="G127" s="71"/>
      <c r="H127" s="71"/>
      <c r="I127" s="71"/>
      <c r="J127" s="71"/>
      <c r="K127" s="71"/>
      <c r="L127" s="71"/>
      <c r="M127" s="71"/>
      <c r="N127" s="71"/>
      <c r="O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2"/>
      <c r="BB127" s="72"/>
      <c r="BC127" s="73"/>
      <c r="BD127" s="73"/>
      <c r="BE127" s="73"/>
      <c r="BF127" s="73"/>
      <c r="BG127" s="73"/>
    </row>
    <row r="128" spans="1:59" x14ac:dyDescent="0.3">
      <c r="A128" s="141"/>
      <c r="B128" s="314"/>
      <c r="C128" s="314"/>
      <c r="D128" s="314"/>
      <c r="E128" s="314"/>
      <c r="F128" s="314"/>
      <c r="G128" s="71"/>
      <c r="H128" s="71"/>
      <c r="I128" s="71"/>
      <c r="J128" s="71"/>
      <c r="K128" s="71"/>
      <c r="L128" s="71"/>
      <c r="M128" s="71"/>
      <c r="N128" s="71"/>
      <c r="O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2"/>
      <c r="BB128" s="72"/>
      <c r="BC128" s="73"/>
      <c r="BD128" s="73"/>
      <c r="BE128" s="73"/>
      <c r="BF128" s="73"/>
      <c r="BG128" s="73"/>
    </row>
    <row r="129" spans="1:59" x14ac:dyDescent="0.3">
      <c r="A129" s="141"/>
      <c r="B129" s="314"/>
      <c r="C129" s="314"/>
      <c r="D129" s="314"/>
      <c r="E129" s="314"/>
      <c r="F129" s="314"/>
      <c r="G129" s="71"/>
      <c r="H129" s="71"/>
      <c r="I129" s="71"/>
      <c r="J129" s="71"/>
      <c r="K129" s="71"/>
      <c r="L129" s="71"/>
      <c r="M129" s="71"/>
      <c r="N129" s="71"/>
      <c r="O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2"/>
      <c r="BB129" s="72"/>
      <c r="BC129" s="73"/>
      <c r="BD129" s="73"/>
      <c r="BE129" s="73"/>
      <c r="BF129" s="73"/>
      <c r="BG129" s="73"/>
    </row>
    <row r="130" spans="1:59" x14ac:dyDescent="0.3">
      <c r="A130" s="141"/>
      <c r="B130" s="314"/>
      <c r="C130" s="314"/>
      <c r="D130" s="314"/>
      <c r="E130" s="314"/>
      <c r="F130" s="314"/>
      <c r="G130" s="71"/>
      <c r="H130" s="71"/>
      <c r="I130" s="71"/>
      <c r="J130" s="71"/>
      <c r="K130" s="71"/>
      <c r="L130" s="71"/>
      <c r="M130" s="71"/>
      <c r="N130" s="71"/>
      <c r="O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2"/>
      <c r="BB130" s="72"/>
      <c r="BC130" s="73"/>
      <c r="BD130" s="73"/>
      <c r="BE130" s="73"/>
      <c r="BF130" s="73"/>
      <c r="BG130" s="73"/>
    </row>
    <row r="131" spans="1:59" x14ac:dyDescent="0.3">
      <c r="A131" s="141"/>
      <c r="B131" s="314"/>
      <c r="C131" s="314"/>
      <c r="D131" s="314"/>
      <c r="E131" s="314"/>
      <c r="F131" s="314"/>
      <c r="G131" s="71"/>
      <c r="H131" s="71"/>
      <c r="I131" s="71"/>
      <c r="J131" s="71"/>
      <c r="K131" s="71"/>
      <c r="L131" s="71"/>
      <c r="M131" s="71"/>
      <c r="N131" s="71"/>
      <c r="O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2"/>
      <c r="BB131" s="72"/>
      <c r="BC131" s="73"/>
      <c r="BD131" s="73"/>
      <c r="BE131" s="73"/>
      <c r="BF131" s="73"/>
      <c r="BG131" s="73"/>
    </row>
    <row r="132" spans="1:59" x14ac:dyDescent="0.3">
      <c r="A132" s="141"/>
      <c r="B132" s="314"/>
      <c r="C132" s="314"/>
      <c r="D132" s="314"/>
      <c r="E132" s="314"/>
      <c r="F132" s="314"/>
      <c r="G132" s="71"/>
      <c r="H132" s="71"/>
      <c r="I132" s="71"/>
      <c r="J132" s="71"/>
      <c r="K132" s="71"/>
      <c r="L132" s="71"/>
      <c r="M132" s="71"/>
      <c r="N132" s="71"/>
      <c r="O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2"/>
      <c r="BB132" s="72"/>
      <c r="BC132" s="73"/>
      <c r="BD132" s="73"/>
      <c r="BE132" s="73"/>
      <c r="BF132" s="73"/>
      <c r="BG132" s="73"/>
    </row>
    <row r="133" spans="1:59" x14ac:dyDescent="0.3">
      <c r="A133" s="141"/>
      <c r="B133" s="314"/>
      <c r="C133" s="314"/>
      <c r="D133" s="314"/>
      <c r="E133" s="314"/>
      <c r="F133" s="314"/>
      <c r="G133" s="71"/>
      <c r="H133" s="71"/>
      <c r="I133" s="71"/>
      <c r="J133" s="71"/>
      <c r="K133" s="71"/>
      <c r="L133" s="71"/>
      <c r="M133" s="71"/>
      <c r="N133" s="71"/>
      <c r="O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2"/>
      <c r="BB133" s="72"/>
      <c r="BC133" s="73"/>
      <c r="BD133" s="73"/>
      <c r="BE133" s="73"/>
      <c r="BF133" s="73"/>
      <c r="BG133" s="73"/>
    </row>
    <row r="134" spans="1:59" x14ac:dyDescent="0.3">
      <c r="A134" s="141"/>
      <c r="B134" s="314"/>
      <c r="C134" s="314"/>
      <c r="D134" s="314"/>
      <c r="E134" s="314"/>
      <c r="F134" s="314"/>
      <c r="G134" s="71"/>
      <c r="H134" s="71"/>
      <c r="I134" s="71"/>
      <c r="J134" s="71"/>
      <c r="K134" s="71"/>
      <c r="L134" s="71"/>
      <c r="M134" s="71"/>
      <c r="N134" s="71"/>
      <c r="O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2"/>
      <c r="BB134" s="72"/>
      <c r="BC134" s="73"/>
      <c r="BD134" s="73"/>
      <c r="BE134" s="73"/>
      <c r="BF134" s="73"/>
      <c r="BG134" s="73"/>
    </row>
    <row r="135" spans="1:59" x14ac:dyDescent="0.3">
      <c r="A135" s="141"/>
      <c r="B135" s="314"/>
      <c r="C135" s="314"/>
      <c r="D135" s="314"/>
      <c r="E135" s="314"/>
      <c r="F135" s="314"/>
      <c r="G135" s="71"/>
      <c r="H135" s="71"/>
      <c r="I135" s="71"/>
      <c r="J135" s="71"/>
      <c r="K135" s="71"/>
      <c r="L135" s="71"/>
      <c r="M135" s="71"/>
      <c r="N135" s="71"/>
      <c r="O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2"/>
      <c r="BB135" s="72"/>
      <c r="BC135" s="73"/>
      <c r="BD135" s="73"/>
      <c r="BE135" s="73"/>
      <c r="BF135" s="73"/>
      <c r="BG135" s="73"/>
    </row>
    <row r="136" spans="1:59" x14ac:dyDescent="0.3">
      <c r="A136" s="141"/>
      <c r="B136" s="314"/>
      <c r="C136" s="314"/>
      <c r="D136" s="314"/>
      <c r="E136" s="314"/>
      <c r="F136" s="314"/>
      <c r="G136" s="71"/>
      <c r="H136" s="71"/>
      <c r="I136" s="71"/>
      <c r="J136" s="71"/>
      <c r="K136" s="71"/>
      <c r="L136" s="71"/>
      <c r="M136" s="71"/>
      <c r="N136" s="71"/>
      <c r="O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2"/>
      <c r="BB136" s="72"/>
      <c r="BC136" s="73"/>
      <c r="BD136" s="73"/>
      <c r="BE136" s="73"/>
      <c r="BF136" s="73"/>
      <c r="BG136" s="73"/>
    </row>
    <row r="137" spans="1:59" x14ac:dyDescent="0.3">
      <c r="A137" s="141"/>
      <c r="B137" s="314"/>
      <c r="C137" s="314"/>
      <c r="D137" s="314"/>
      <c r="E137" s="314"/>
      <c r="F137" s="314"/>
      <c r="G137" s="71"/>
      <c r="H137" s="71"/>
      <c r="I137" s="71"/>
      <c r="J137" s="71"/>
      <c r="K137" s="71"/>
      <c r="L137" s="71"/>
      <c r="M137" s="71"/>
      <c r="N137" s="71"/>
      <c r="O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2"/>
      <c r="BB137" s="72"/>
      <c r="BC137" s="73"/>
      <c r="BD137" s="73"/>
      <c r="BE137" s="73"/>
      <c r="BF137" s="73"/>
      <c r="BG137" s="73"/>
    </row>
    <row r="138" spans="1:59" x14ac:dyDescent="0.3">
      <c r="A138" s="141"/>
      <c r="B138" s="314"/>
      <c r="C138" s="314"/>
      <c r="D138" s="314"/>
      <c r="E138" s="314"/>
      <c r="F138" s="314"/>
      <c r="G138" s="71"/>
      <c r="H138" s="71"/>
      <c r="I138" s="71"/>
      <c r="J138" s="71"/>
      <c r="K138" s="71"/>
      <c r="L138" s="71"/>
      <c r="M138" s="71"/>
      <c r="N138" s="71"/>
      <c r="O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2"/>
      <c r="BB138" s="72"/>
      <c r="BC138" s="73"/>
      <c r="BD138" s="73"/>
      <c r="BE138" s="73"/>
      <c r="BF138" s="73"/>
      <c r="BG138" s="73"/>
    </row>
    <row r="139" spans="1:59" x14ac:dyDescent="0.3">
      <c r="A139" s="141"/>
      <c r="B139" s="314"/>
      <c r="C139" s="314"/>
      <c r="D139" s="314"/>
      <c r="E139" s="314"/>
      <c r="F139" s="314"/>
      <c r="G139" s="71"/>
      <c r="H139" s="71"/>
      <c r="I139" s="71"/>
      <c r="J139" s="71"/>
      <c r="K139" s="71"/>
      <c r="L139" s="71"/>
      <c r="M139" s="71"/>
      <c r="N139" s="71"/>
      <c r="O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2"/>
      <c r="BB139" s="72"/>
      <c r="BC139" s="73"/>
      <c r="BD139" s="73"/>
      <c r="BE139" s="73"/>
      <c r="BF139" s="73"/>
      <c r="BG139" s="73"/>
    </row>
    <row r="140" spans="1:59" x14ac:dyDescent="0.3">
      <c r="A140" s="141"/>
      <c r="B140" s="314"/>
      <c r="C140" s="314"/>
      <c r="D140" s="314"/>
      <c r="E140" s="314"/>
      <c r="F140" s="314"/>
      <c r="G140" s="71"/>
      <c r="H140" s="71"/>
      <c r="I140" s="71"/>
      <c r="J140" s="71"/>
      <c r="K140" s="71"/>
      <c r="L140" s="71"/>
      <c r="M140" s="71"/>
      <c r="N140" s="71"/>
      <c r="O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2"/>
      <c r="BB140" s="72"/>
      <c r="BC140" s="73"/>
      <c r="BD140" s="73"/>
      <c r="BE140" s="73"/>
      <c r="BF140" s="73"/>
      <c r="BG140" s="73"/>
    </row>
    <row r="141" spans="1:59" x14ac:dyDescent="0.3">
      <c r="A141" s="141"/>
      <c r="B141" s="314"/>
      <c r="C141" s="314"/>
      <c r="D141" s="314"/>
      <c r="E141" s="314"/>
      <c r="F141" s="314"/>
      <c r="G141" s="71"/>
      <c r="H141" s="71"/>
      <c r="I141" s="71"/>
      <c r="J141" s="71"/>
      <c r="K141" s="71"/>
      <c r="L141" s="71"/>
      <c r="M141" s="71"/>
      <c r="N141" s="71"/>
      <c r="O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2"/>
      <c r="BB141" s="72"/>
      <c r="BC141" s="73"/>
      <c r="BD141" s="73"/>
      <c r="BE141" s="73"/>
      <c r="BF141" s="73"/>
      <c r="BG141" s="73"/>
    </row>
    <row r="142" spans="1:59" x14ac:dyDescent="0.3">
      <c r="A142" s="141"/>
      <c r="B142" s="314"/>
      <c r="C142" s="314"/>
      <c r="D142" s="314"/>
      <c r="E142" s="314"/>
      <c r="F142" s="314"/>
      <c r="G142" s="71"/>
      <c r="H142" s="71"/>
      <c r="I142" s="71"/>
      <c r="J142" s="71"/>
      <c r="K142" s="71"/>
      <c r="L142" s="71"/>
      <c r="M142" s="71"/>
      <c r="N142" s="71"/>
      <c r="O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2"/>
      <c r="BB142" s="72"/>
      <c r="BC142" s="73"/>
      <c r="BD142" s="73"/>
      <c r="BE142" s="73"/>
      <c r="BF142" s="73"/>
      <c r="BG142" s="73"/>
    </row>
    <row r="143" spans="1:59" x14ac:dyDescent="0.3">
      <c r="A143" s="141"/>
      <c r="B143" s="314"/>
      <c r="C143" s="314"/>
      <c r="D143" s="314"/>
      <c r="E143" s="314"/>
      <c r="F143" s="314"/>
      <c r="G143" s="71"/>
      <c r="H143" s="71"/>
      <c r="I143" s="71"/>
      <c r="J143" s="71"/>
      <c r="K143" s="71"/>
      <c r="L143" s="71"/>
      <c r="M143" s="71"/>
      <c r="N143" s="71"/>
      <c r="O143" s="71"/>
      <c r="AR143" s="71"/>
      <c r="AS143" s="71"/>
      <c r="AT143" s="71"/>
      <c r="AU143" s="71"/>
      <c r="AV143" s="71"/>
      <c r="AW143" s="71"/>
      <c r="AX143" s="71"/>
      <c r="AY143" s="71"/>
      <c r="AZ143" s="71"/>
      <c r="BA143" s="72"/>
      <c r="BB143" s="72"/>
      <c r="BC143" s="73"/>
      <c r="BD143" s="73"/>
      <c r="BE143" s="73"/>
      <c r="BF143" s="73"/>
      <c r="BG143" s="73"/>
    </row>
    <row r="144" spans="1:59" x14ac:dyDescent="0.3">
      <c r="A144" s="141"/>
      <c r="B144" s="314"/>
      <c r="C144" s="314"/>
      <c r="D144" s="314"/>
      <c r="E144" s="314"/>
      <c r="F144" s="314"/>
      <c r="G144" s="71"/>
      <c r="H144" s="71"/>
      <c r="I144" s="71"/>
      <c r="J144" s="71"/>
      <c r="K144" s="71"/>
      <c r="L144" s="71"/>
      <c r="M144" s="71"/>
      <c r="N144" s="71"/>
      <c r="O144" s="71"/>
      <c r="AR144" s="71"/>
      <c r="AS144" s="71"/>
      <c r="AT144" s="71"/>
      <c r="AU144" s="71"/>
      <c r="AV144" s="71"/>
      <c r="AW144" s="71"/>
      <c r="AX144" s="71"/>
      <c r="AY144" s="71"/>
      <c r="AZ144" s="71"/>
      <c r="BA144" s="72"/>
      <c r="BB144" s="72"/>
      <c r="BC144" s="73"/>
      <c r="BD144" s="73"/>
      <c r="BE144" s="73"/>
      <c r="BF144" s="73"/>
      <c r="BG144" s="73"/>
    </row>
    <row r="145" spans="1:59" x14ac:dyDescent="0.3">
      <c r="A145" s="141"/>
      <c r="B145" s="314"/>
      <c r="C145" s="314"/>
      <c r="D145" s="314"/>
      <c r="E145" s="314"/>
      <c r="F145" s="314"/>
      <c r="G145" s="71"/>
      <c r="H145" s="71"/>
      <c r="I145" s="71"/>
      <c r="J145" s="71"/>
      <c r="K145" s="71"/>
      <c r="L145" s="71"/>
      <c r="M145" s="71"/>
      <c r="N145" s="71"/>
      <c r="O145" s="71"/>
      <c r="AR145" s="71"/>
      <c r="AS145" s="71"/>
      <c r="AT145" s="71"/>
      <c r="AU145" s="71"/>
      <c r="AV145" s="71"/>
      <c r="AW145" s="71"/>
      <c r="AX145" s="71"/>
      <c r="AY145" s="71"/>
      <c r="AZ145" s="71"/>
      <c r="BA145" s="72"/>
      <c r="BB145" s="72"/>
      <c r="BC145" s="73"/>
      <c r="BD145" s="73"/>
      <c r="BE145" s="73"/>
      <c r="BF145" s="73"/>
      <c r="BG145" s="73"/>
    </row>
    <row r="146" spans="1:59" x14ac:dyDescent="0.3">
      <c r="A146" s="141"/>
      <c r="B146" s="314"/>
      <c r="C146" s="314"/>
      <c r="D146" s="314"/>
      <c r="E146" s="314"/>
      <c r="F146" s="314"/>
      <c r="G146" s="71"/>
      <c r="H146" s="71"/>
      <c r="I146" s="71"/>
      <c r="J146" s="71"/>
      <c r="K146" s="71"/>
      <c r="L146" s="71"/>
      <c r="M146" s="71"/>
      <c r="N146" s="71"/>
      <c r="O146" s="71"/>
      <c r="AR146" s="71"/>
      <c r="AS146" s="71"/>
      <c r="AT146" s="71"/>
      <c r="AU146" s="71"/>
      <c r="AV146" s="71"/>
      <c r="AW146" s="71"/>
      <c r="AX146" s="71"/>
      <c r="AY146" s="71"/>
      <c r="AZ146" s="71"/>
      <c r="BA146" s="72"/>
      <c r="BB146" s="72"/>
      <c r="BC146" s="73"/>
      <c r="BD146" s="73"/>
      <c r="BE146" s="73"/>
      <c r="BF146" s="73"/>
      <c r="BG146" s="73"/>
    </row>
    <row r="147" spans="1:59" x14ac:dyDescent="0.3">
      <c r="A147" s="141"/>
      <c r="B147" s="314"/>
      <c r="C147" s="314"/>
      <c r="D147" s="314"/>
      <c r="E147" s="314"/>
      <c r="F147" s="314"/>
      <c r="G147" s="71"/>
      <c r="H147" s="71"/>
      <c r="I147" s="71"/>
      <c r="J147" s="71"/>
      <c r="K147" s="71"/>
      <c r="L147" s="71"/>
      <c r="M147" s="71"/>
      <c r="N147" s="71"/>
      <c r="O147" s="71"/>
      <c r="AR147" s="71"/>
      <c r="AS147" s="71"/>
      <c r="AT147" s="71"/>
      <c r="AU147" s="71"/>
      <c r="AV147" s="71"/>
      <c r="AW147" s="71"/>
      <c r="AX147" s="71"/>
      <c r="AY147" s="71"/>
      <c r="AZ147" s="71"/>
      <c r="BA147" s="72"/>
      <c r="BB147" s="72"/>
      <c r="BC147" s="73"/>
      <c r="BD147" s="73"/>
      <c r="BE147" s="73"/>
      <c r="BF147" s="73"/>
      <c r="BG147" s="73"/>
    </row>
    <row r="148" spans="1:59" x14ac:dyDescent="0.3">
      <c r="A148" s="141"/>
      <c r="B148" s="314"/>
      <c r="C148" s="314"/>
      <c r="D148" s="314"/>
      <c r="E148" s="314"/>
      <c r="F148" s="314"/>
      <c r="G148" s="71"/>
      <c r="H148" s="71"/>
      <c r="I148" s="71"/>
      <c r="J148" s="71"/>
      <c r="K148" s="71"/>
      <c r="L148" s="71"/>
      <c r="M148" s="71"/>
      <c r="N148" s="71"/>
      <c r="O148" s="71"/>
      <c r="AR148" s="71"/>
      <c r="AS148" s="71"/>
      <c r="AT148" s="71"/>
      <c r="AU148" s="71"/>
      <c r="AV148" s="71"/>
      <c r="AW148" s="71"/>
      <c r="AX148" s="71"/>
      <c r="AY148" s="71"/>
      <c r="AZ148" s="71"/>
      <c r="BA148" s="72"/>
      <c r="BB148" s="72"/>
      <c r="BC148" s="73"/>
      <c r="BD148" s="73"/>
      <c r="BE148" s="73"/>
      <c r="BF148" s="73"/>
      <c r="BG148" s="73"/>
    </row>
    <row r="149" spans="1:59" x14ac:dyDescent="0.3">
      <c r="A149" s="141"/>
      <c r="B149" s="314"/>
      <c r="C149" s="314"/>
      <c r="D149" s="314"/>
      <c r="E149" s="314"/>
      <c r="F149" s="314"/>
      <c r="G149" s="71"/>
      <c r="H149" s="71"/>
      <c r="I149" s="71"/>
      <c r="J149" s="71"/>
      <c r="K149" s="71"/>
      <c r="L149" s="71"/>
      <c r="M149" s="71"/>
      <c r="N149" s="71"/>
      <c r="O149" s="71"/>
      <c r="AR149" s="71"/>
      <c r="AS149" s="71"/>
      <c r="AT149" s="71"/>
      <c r="AU149" s="71"/>
      <c r="AV149" s="71"/>
      <c r="AW149" s="71"/>
      <c r="AX149" s="71"/>
      <c r="AY149" s="71"/>
      <c r="AZ149" s="71"/>
      <c r="BA149" s="72"/>
      <c r="BB149" s="72"/>
      <c r="BC149" s="73"/>
      <c r="BD149" s="73"/>
      <c r="BE149" s="73"/>
      <c r="BF149" s="73"/>
      <c r="BG149" s="73"/>
    </row>
    <row r="150" spans="1:59" x14ac:dyDescent="0.3">
      <c r="A150" s="141"/>
      <c r="B150" s="314"/>
      <c r="C150" s="314"/>
      <c r="D150" s="314"/>
      <c r="E150" s="314"/>
      <c r="F150" s="314"/>
      <c r="G150" s="71"/>
      <c r="H150" s="71"/>
      <c r="I150" s="71"/>
      <c r="J150" s="71"/>
      <c r="K150" s="71"/>
      <c r="L150" s="71"/>
      <c r="M150" s="71"/>
      <c r="N150" s="71"/>
      <c r="O150" s="71"/>
      <c r="AR150" s="71"/>
      <c r="AS150" s="71"/>
      <c r="AT150" s="71"/>
      <c r="AU150" s="71"/>
      <c r="AV150" s="71"/>
      <c r="AW150" s="71"/>
      <c r="AX150" s="71"/>
      <c r="AY150" s="71"/>
      <c r="AZ150" s="71"/>
      <c r="BA150" s="72"/>
      <c r="BB150" s="72"/>
      <c r="BC150" s="73"/>
      <c r="BD150" s="73"/>
      <c r="BE150" s="73"/>
      <c r="BF150" s="73"/>
      <c r="BG150" s="73"/>
    </row>
    <row r="151" spans="1:59" x14ac:dyDescent="0.3">
      <c r="A151" s="141"/>
      <c r="B151" s="314"/>
      <c r="C151" s="314"/>
      <c r="D151" s="314"/>
      <c r="E151" s="314"/>
      <c r="F151" s="314"/>
      <c r="G151" s="71"/>
      <c r="H151" s="71"/>
      <c r="I151" s="71"/>
      <c r="J151" s="71"/>
      <c r="K151" s="71"/>
      <c r="L151" s="71"/>
      <c r="M151" s="71"/>
      <c r="N151" s="71"/>
      <c r="O151" s="71"/>
      <c r="AR151" s="71"/>
      <c r="AS151" s="71"/>
      <c r="AT151" s="71"/>
      <c r="AU151" s="71"/>
      <c r="AV151" s="71"/>
      <c r="AW151" s="71"/>
      <c r="AX151" s="71"/>
      <c r="AY151" s="71"/>
      <c r="AZ151" s="71"/>
      <c r="BA151" s="72"/>
      <c r="BB151" s="72"/>
      <c r="BC151" s="73"/>
      <c r="BD151" s="73"/>
      <c r="BE151" s="73"/>
      <c r="BF151" s="73"/>
      <c r="BG151" s="73"/>
    </row>
    <row r="152" spans="1:59" x14ac:dyDescent="0.3">
      <c r="A152" s="141"/>
      <c r="B152" s="314"/>
      <c r="C152" s="314"/>
      <c r="D152" s="314"/>
      <c r="E152" s="314"/>
      <c r="F152" s="314"/>
      <c r="G152" s="71"/>
      <c r="H152" s="71"/>
      <c r="I152" s="71"/>
      <c r="J152" s="71"/>
      <c r="K152" s="71"/>
      <c r="L152" s="71"/>
      <c r="M152" s="71"/>
      <c r="N152" s="71"/>
      <c r="O152" s="71"/>
      <c r="AR152" s="71"/>
      <c r="AS152" s="71"/>
      <c r="AT152" s="71"/>
      <c r="AU152" s="71"/>
      <c r="AV152" s="71"/>
      <c r="AW152" s="71"/>
      <c r="AX152" s="71"/>
      <c r="AY152" s="71"/>
      <c r="AZ152" s="71"/>
      <c r="BA152" s="72"/>
      <c r="BB152" s="72"/>
      <c r="BC152" s="73"/>
      <c r="BD152" s="73"/>
      <c r="BE152" s="73"/>
      <c r="BF152" s="73"/>
      <c r="BG152" s="73"/>
    </row>
    <row r="153" spans="1:59" x14ac:dyDescent="0.3">
      <c r="A153" s="141"/>
      <c r="B153" s="314"/>
      <c r="C153" s="314"/>
      <c r="D153" s="314"/>
      <c r="E153" s="314"/>
      <c r="F153" s="314"/>
      <c r="G153" s="71"/>
      <c r="H153" s="71"/>
      <c r="I153" s="71"/>
      <c r="J153" s="71"/>
      <c r="K153" s="71"/>
      <c r="L153" s="71"/>
      <c r="M153" s="71"/>
      <c r="N153" s="71"/>
      <c r="O153" s="71"/>
      <c r="AR153" s="71"/>
      <c r="AS153" s="71"/>
      <c r="AT153" s="71"/>
      <c r="AU153" s="71"/>
      <c r="AV153" s="71"/>
      <c r="AW153" s="71"/>
      <c r="AX153" s="71"/>
      <c r="AY153" s="71"/>
      <c r="AZ153" s="71"/>
      <c r="BA153" s="72"/>
      <c r="BB153" s="72"/>
      <c r="BC153" s="73"/>
      <c r="BD153" s="73"/>
      <c r="BE153" s="73"/>
      <c r="BF153" s="73"/>
      <c r="BG153" s="73"/>
    </row>
    <row r="154" spans="1:59" x14ac:dyDescent="0.3">
      <c r="A154" s="141"/>
      <c r="B154" s="314"/>
      <c r="C154" s="314"/>
      <c r="D154" s="314"/>
      <c r="E154" s="314"/>
      <c r="F154" s="314"/>
      <c r="G154" s="71"/>
      <c r="H154" s="71"/>
      <c r="I154" s="71"/>
      <c r="J154" s="71"/>
      <c r="K154" s="71"/>
      <c r="L154" s="71"/>
      <c r="M154" s="71"/>
      <c r="N154" s="71"/>
      <c r="O154" s="71"/>
      <c r="AR154" s="71"/>
      <c r="AS154" s="71"/>
      <c r="AT154" s="71"/>
      <c r="AU154" s="71"/>
      <c r="AV154" s="71"/>
      <c r="AW154" s="71"/>
      <c r="AX154" s="71"/>
      <c r="AY154" s="71"/>
      <c r="AZ154" s="71"/>
      <c r="BA154" s="72"/>
      <c r="BB154" s="72"/>
      <c r="BC154" s="73"/>
      <c r="BD154" s="73"/>
      <c r="BE154" s="73"/>
      <c r="BF154" s="73"/>
      <c r="BG154" s="73"/>
    </row>
    <row r="155" spans="1:59" x14ac:dyDescent="0.3">
      <c r="A155" s="141"/>
      <c r="B155" s="314"/>
      <c r="C155" s="314"/>
      <c r="D155" s="314"/>
      <c r="E155" s="314"/>
      <c r="F155" s="314"/>
      <c r="G155" s="71"/>
      <c r="H155" s="71"/>
      <c r="I155" s="71"/>
      <c r="J155" s="71"/>
      <c r="K155" s="71"/>
      <c r="L155" s="71"/>
      <c r="M155" s="71"/>
      <c r="N155" s="71"/>
      <c r="O155" s="71"/>
      <c r="AR155" s="71"/>
      <c r="AS155" s="71"/>
      <c r="AT155" s="71"/>
      <c r="AU155" s="71"/>
      <c r="AV155" s="71"/>
      <c r="AW155" s="71"/>
      <c r="AX155" s="71"/>
      <c r="AY155" s="71"/>
      <c r="AZ155" s="71"/>
      <c r="BA155" s="72"/>
      <c r="BB155" s="72"/>
      <c r="BC155" s="73"/>
      <c r="BD155" s="73"/>
      <c r="BE155" s="73"/>
      <c r="BF155" s="73"/>
      <c r="BG155" s="73"/>
    </row>
    <row r="156" spans="1:59" x14ac:dyDescent="0.3">
      <c r="A156" s="141"/>
      <c r="B156" s="314"/>
      <c r="C156" s="314"/>
      <c r="D156" s="314"/>
      <c r="E156" s="314"/>
      <c r="F156" s="314"/>
      <c r="G156" s="71"/>
      <c r="H156" s="71"/>
      <c r="I156" s="71"/>
      <c r="J156" s="71"/>
      <c r="K156" s="71"/>
      <c r="L156" s="71"/>
      <c r="M156" s="71"/>
      <c r="N156" s="71"/>
      <c r="O156" s="71"/>
      <c r="AR156" s="71"/>
      <c r="AS156" s="71"/>
      <c r="AT156" s="71"/>
      <c r="AU156" s="71"/>
      <c r="AV156" s="71"/>
      <c r="AW156" s="71"/>
      <c r="AX156" s="71"/>
      <c r="AY156" s="71"/>
      <c r="AZ156" s="71"/>
      <c r="BA156" s="72"/>
      <c r="BB156" s="72"/>
      <c r="BC156" s="73"/>
      <c r="BD156" s="73"/>
      <c r="BE156" s="73"/>
      <c r="BF156" s="73"/>
      <c r="BG156" s="73"/>
    </row>
    <row r="157" spans="1:59" x14ac:dyDescent="0.3">
      <c r="A157" s="141"/>
      <c r="B157" s="314"/>
      <c r="C157" s="314"/>
      <c r="D157" s="314"/>
      <c r="E157" s="314"/>
      <c r="F157" s="314"/>
      <c r="G157" s="71"/>
      <c r="H157" s="71"/>
      <c r="I157" s="71"/>
      <c r="J157" s="71"/>
      <c r="K157" s="71"/>
      <c r="L157" s="71"/>
      <c r="M157" s="71"/>
      <c r="N157" s="71"/>
      <c r="O157" s="71"/>
      <c r="AR157" s="71"/>
      <c r="AS157" s="71"/>
      <c r="AT157" s="71"/>
      <c r="AU157" s="71"/>
      <c r="AV157" s="71"/>
      <c r="AW157" s="71"/>
      <c r="AX157" s="71"/>
      <c r="AY157" s="71"/>
      <c r="AZ157" s="71"/>
      <c r="BA157" s="72"/>
      <c r="BB157" s="72"/>
      <c r="BC157" s="73"/>
      <c r="BD157" s="73"/>
      <c r="BE157" s="73"/>
      <c r="BF157" s="73"/>
      <c r="BG157" s="73"/>
    </row>
    <row r="158" spans="1:59" x14ac:dyDescent="0.3">
      <c r="A158" s="141"/>
      <c r="B158" s="314"/>
      <c r="C158" s="314"/>
      <c r="D158" s="314"/>
      <c r="E158" s="314"/>
      <c r="F158" s="314"/>
      <c r="G158" s="71"/>
      <c r="H158" s="71"/>
      <c r="I158" s="71"/>
      <c r="J158" s="71"/>
      <c r="K158" s="71"/>
      <c r="L158" s="71"/>
      <c r="M158" s="71"/>
      <c r="N158" s="71"/>
      <c r="O158" s="71"/>
      <c r="AR158" s="71"/>
      <c r="AS158" s="71"/>
      <c r="AT158" s="71"/>
      <c r="AU158" s="71"/>
      <c r="AV158" s="71"/>
      <c r="AW158" s="71"/>
      <c r="AX158" s="71"/>
      <c r="AY158" s="71"/>
      <c r="AZ158" s="71"/>
      <c r="BA158" s="72"/>
      <c r="BB158" s="72"/>
      <c r="BC158" s="73"/>
      <c r="BD158" s="73"/>
      <c r="BE158" s="73"/>
      <c r="BF158" s="73"/>
      <c r="BG158" s="73"/>
    </row>
    <row r="159" spans="1:59" x14ac:dyDescent="0.3">
      <c r="A159" s="141"/>
      <c r="B159" s="314"/>
      <c r="C159" s="314"/>
      <c r="D159" s="314"/>
      <c r="E159" s="314"/>
      <c r="F159" s="314"/>
      <c r="G159" s="71"/>
      <c r="H159" s="71"/>
      <c r="I159" s="71"/>
      <c r="J159" s="71"/>
      <c r="K159" s="71"/>
      <c r="L159" s="71"/>
      <c r="M159" s="71"/>
      <c r="N159" s="71"/>
      <c r="O159" s="71"/>
      <c r="AR159" s="71"/>
      <c r="AS159" s="71"/>
      <c r="AT159" s="71"/>
      <c r="AU159" s="71"/>
      <c r="AV159" s="71"/>
      <c r="AW159" s="71"/>
      <c r="AX159" s="71"/>
      <c r="AY159" s="71"/>
      <c r="AZ159" s="71"/>
      <c r="BA159" s="72"/>
      <c r="BB159" s="72"/>
      <c r="BC159" s="73"/>
      <c r="BD159" s="73"/>
      <c r="BE159" s="73"/>
      <c r="BF159" s="73"/>
      <c r="BG159" s="73"/>
    </row>
    <row r="160" spans="1:59" x14ac:dyDescent="0.3">
      <c r="A160" s="141"/>
      <c r="B160" s="314"/>
      <c r="C160" s="314"/>
      <c r="D160" s="314"/>
      <c r="E160" s="314"/>
      <c r="F160" s="314"/>
      <c r="G160" s="71"/>
      <c r="H160" s="71"/>
      <c r="I160" s="71"/>
      <c r="J160" s="71"/>
      <c r="K160" s="71"/>
      <c r="L160" s="71"/>
      <c r="M160" s="71"/>
      <c r="N160" s="71"/>
      <c r="O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2"/>
      <c r="BB160" s="72"/>
      <c r="BC160" s="73"/>
      <c r="BD160" s="73"/>
      <c r="BE160" s="73"/>
      <c r="BF160" s="73"/>
      <c r="BG160" s="73"/>
    </row>
    <row r="161" spans="1:59" x14ac:dyDescent="0.3">
      <c r="A161" s="141"/>
      <c r="B161" s="314"/>
      <c r="C161" s="314"/>
      <c r="D161" s="314"/>
      <c r="E161" s="314"/>
      <c r="F161" s="314"/>
      <c r="G161" s="71"/>
      <c r="H161" s="71"/>
      <c r="I161" s="71"/>
      <c r="J161" s="71"/>
      <c r="K161" s="71"/>
      <c r="L161" s="71"/>
      <c r="M161" s="71"/>
      <c r="N161" s="71"/>
      <c r="O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2"/>
      <c r="BB161" s="72"/>
      <c r="BC161" s="73"/>
      <c r="BD161" s="73"/>
      <c r="BE161" s="73"/>
      <c r="BF161" s="73"/>
      <c r="BG161" s="73"/>
    </row>
    <row r="162" spans="1:59" x14ac:dyDescent="0.3">
      <c r="A162" s="141"/>
      <c r="B162" s="314"/>
      <c r="C162" s="314"/>
      <c r="D162" s="314"/>
      <c r="E162" s="314"/>
      <c r="F162" s="314"/>
      <c r="G162" s="71"/>
      <c r="H162" s="71"/>
      <c r="I162" s="71"/>
      <c r="J162" s="71"/>
      <c r="K162" s="71"/>
      <c r="L162" s="71"/>
      <c r="M162" s="71"/>
      <c r="N162" s="71"/>
      <c r="O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2"/>
      <c r="BB162" s="72"/>
      <c r="BC162" s="73"/>
      <c r="BD162" s="73"/>
      <c r="BE162" s="73"/>
      <c r="BF162" s="73"/>
      <c r="BG162" s="73"/>
    </row>
    <row r="163" spans="1:59" x14ac:dyDescent="0.3">
      <c r="A163" s="141"/>
      <c r="B163" s="314"/>
      <c r="C163" s="314"/>
      <c r="D163" s="314"/>
      <c r="E163" s="314"/>
      <c r="F163" s="314"/>
      <c r="G163" s="71"/>
      <c r="H163" s="71"/>
      <c r="I163" s="71"/>
      <c r="J163" s="71"/>
      <c r="K163" s="71"/>
      <c r="L163" s="71"/>
      <c r="M163" s="71"/>
      <c r="N163" s="71"/>
      <c r="O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2"/>
      <c r="BB163" s="72"/>
      <c r="BC163" s="73"/>
      <c r="BD163" s="73"/>
      <c r="BE163" s="73"/>
      <c r="BF163" s="73"/>
      <c r="BG163" s="73"/>
    </row>
    <row r="164" spans="1:59" x14ac:dyDescent="0.3">
      <c r="A164" s="141"/>
      <c r="B164" s="314"/>
      <c r="C164" s="314"/>
      <c r="D164" s="314"/>
      <c r="E164" s="314"/>
      <c r="F164" s="314"/>
      <c r="G164" s="71"/>
      <c r="H164" s="71"/>
      <c r="I164" s="71"/>
      <c r="J164" s="71"/>
      <c r="K164" s="71"/>
      <c r="L164" s="71"/>
      <c r="M164" s="71"/>
      <c r="N164" s="71"/>
      <c r="O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2"/>
      <c r="BB164" s="72"/>
      <c r="BC164" s="73"/>
      <c r="BD164" s="73"/>
      <c r="BE164" s="73"/>
      <c r="BF164" s="73"/>
      <c r="BG164" s="73"/>
    </row>
    <row r="165" spans="1:59" x14ac:dyDescent="0.3">
      <c r="A165" s="141"/>
      <c r="B165" s="314"/>
      <c r="C165" s="314"/>
      <c r="D165" s="314"/>
      <c r="E165" s="314"/>
      <c r="F165" s="314"/>
      <c r="G165" s="71"/>
      <c r="H165" s="71"/>
      <c r="I165" s="71"/>
      <c r="J165" s="71"/>
      <c r="K165" s="71"/>
      <c r="L165" s="71"/>
      <c r="M165" s="71"/>
      <c r="N165" s="71"/>
      <c r="O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2"/>
      <c r="BB165" s="72"/>
      <c r="BC165" s="73"/>
      <c r="BD165" s="73"/>
      <c r="BE165" s="73"/>
      <c r="BF165" s="73"/>
      <c r="BG165" s="73"/>
    </row>
    <row r="166" spans="1:59" x14ac:dyDescent="0.3">
      <c r="A166" s="141"/>
      <c r="B166" s="314"/>
      <c r="C166" s="314"/>
      <c r="D166" s="314"/>
      <c r="E166" s="314"/>
      <c r="F166" s="314"/>
      <c r="G166" s="71"/>
      <c r="H166" s="71"/>
      <c r="I166" s="71"/>
      <c r="J166" s="71"/>
      <c r="K166" s="71"/>
      <c r="L166" s="71"/>
      <c r="M166" s="71"/>
      <c r="N166" s="71"/>
      <c r="O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2"/>
      <c r="BB166" s="72"/>
      <c r="BC166" s="73"/>
      <c r="BD166" s="73"/>
      <c r="BE166" s="73"/>
      <c r="BF166" s="73"/>
      <c r="BG166" s="73"/>
    </row>
    <row r="167" spans="1:59" x14ac:dyDescent="0.3">
      <c r="A167" s="141"/>
      <c r="B167" s="314"/>
      <c r="C167" s="314"/>
      <c r="D167" s="314"/>
      <c r="E167" s="314"/>
      <c r="F167" s="314"/>
      <c r="G167" s="71"/>
      <c r="H167" s="71"/>
      <c r="I167" s="71"/>
      <c r="J167" s="71"/>
      <c r="K167" s="71"/>
      <c r="L167" s="71"/>
      <c r="M167" s="71"/>
      <c r="N167" s="71"/>
      <c r="O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2"/>
      <c r="BB167" s="72"/>
      <c r="BC167" s="73"/>
      <c r="BD167" s="73"/>
      <c r="BE167" s="73"/>
      <c r="BF167" s="73"/>
      <c r="BG167" s="73"/>
    </row>
    <row r="168" spans="1:59" x14ac:dyDescent="0.3">
      <c r="A168" s="141"/>
      <c r="B168" s="314"/>
      <c r="C168" s="314"/>
      <c r="D168" s="314"/>
      <c r="E168" s="314"/>
      <c r="F168" s="314"/>
      <c r="G168" s="71"/>
      <c r="H168" s="71"/>
      <c r="I168" s="71"/>
      <c r="J168" s="71"/>
      <c r="K168" s="71"/>
      <c r="L168" s="71"/>
      <c r="M168" s="71"/>
      <c r="N168" s="71"/>
      <c r="O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2"/>
      <c r="BB168" s="72"/>
      <c r="BC168" s="73"/>
      <c r="BD168" s="73"/>
      <c r="BE168" s="73"/>
      <c r="BF168" s="73"/>
      <c r="BG168" s="73"/>
    </row>
    <row r="169" spans="1:59" x14ac:dyDescent="0.3">
      <c r="A169" s="141"/>
      <c r="B169" s="314"/>
      <c r="C169" s="314"/>
      <c r="D169" s="314"/>
      <c r="E169" s="314"/>
      <c r="F169" s="314"/>
      <c r="G169" s="71"/>
      <c r="H169" s="71"/>
      <c r="I169" s="71"/>
      <c r="J169" s="71"/>
      <c r="K169" s="71"/>
      <c r="L169" s="71"/>
      <c r="M169" s="71"/>
      <c r="N169" s="71"/>
      <c r="O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2"/>
      <c r="BB169" s="72"/>
      <c r="BC169" s="73"/>
      <c r="BD169" s="73"/>
      <c r="BE169" s="73"/>
      <c r="BF169" s="73"/>
      <c r="BG169" s="73"/>
    </row>
    <row r="170" spans="1:59" x14ac:dyDescent="0.3">
      <c r="A170" s="141"/>
      <c r="B170" s="314"/>
      <c r="C170" s="314"/>
      <c r="D170" s="314"/>
      <c r="E170" s="314"/>
      <c r="F170" s="314"/>
      <c r="G170" s="71"/>
      <c r="H170" s="71"/>
      <c r="I170" s="71"/>
      <c r="J170" s="71"/>
      <c r="K170" s="71"/>
      <c r="L170" s="71"/>
      <c r="M170" s="71"/>
      <c r="N170" s="71"/>
      <c r="O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2"/>
      <c r="BB170" s="72"/>
      <c r="BC170" s="73"/>
      <c r="BD170" s="73"/>
      <c r="BE170" s="73"/>
      <c r="BF170" s="73"/>
      <c r="BG170" s="73"/>
    </row>
    <row r="171" spans="1:59" x14ac:dyDescent="0.3">
      <c r="A171" s="141"/>
      <c r="B171" s="314"/>
      <c r="C171" s="314"/>
      <c r="D171" s="314"/>
      <c r="E171" s="314"/>
      <c r="F171" s="314"/>
      <c r="G171" s="71"/>
      <c r="H171" s="71"/>
      <c r="I171" s="71"/>
      <c r="J171" s="71"/>
      <c r="K171" s="71"/>
      <c r="L171" s="71"/>
      <c r="M171" s="71"/>
      <c r="N171" s="71"/>
      <c r="O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2"/>
      <c r="BB171" s="72"/>
      <c r="BC171" s="73"/>
      <c r="BD171" s="73"/>
      <c r="BE171" s="73"/>
      <c r="BF171" s="73"/>
      <c r="BG171" s="73"/>
    </row>
    <row r="172" spans="1:59" x14ac:dyDescent="0.3">
      <c r="A172" s="141"/>
      <c r="B172" s="314"/>
      <c r="C172" s="314"/>
      <c r="D172" s="314"/>
      <c r="E172" s="314"/>
      <c r="F172" s="314"/>
      <c r="G172" s="71"/>
      <c r="H172" s="71"/>
      <c r="I172" s="71"/>
      <c r="J172" s="71"/>
      <c r="K172" s="71"/>
      <c r="L172" s="71"/>
      <c r="M172" s="71"/>
      <c r="N172" s="71"/>
      <c r="O172" s="71"/>
      <c r="AR172" s="71"/>
      <c r="AS172" s="71"/>
      <c r="AT172" s="71"/>
      <c r="AU172" s="71"/>
      <c r="AV172" s="71"/>
      <c r="AW172" s="71"/>
      <c r="AX172" s="71"/>
      <c r="AY172" s="71"/>
      <c r="AZ172" s="71"/>
      <c r="BA172" s="72"/>
      <c r="BB172" s="72"/>
      <c r="BC172" s="73"/>
      <c r="BD172" s="73"/>
      <c r="BE172" s="73"/>
      <c r="BF172" s="73"/>
      <c r="BG172" s="73"/>
    </row>
    <row r="173" spans="1:59" x14ac:dyDescent="0.3">
      <c r="A173" s="141"/>
      <c r="B173" s="314"/>
      <c r="C173" s="314"/>
      <c r="D173" s="314"/>
      <c r="E173" s="314"/>
      <c r="F173" s="314"/>
      <c r="G173" s="71"/>
      <c r="H173" s="71"/>
      <c r="I173" s="71"/>
      <c r="J173" s="71"/>
      <c r="K173" s="71"/>
      <c r="L173" s="71"/>
      <c r="M173" s="71"/>
      <c r="N173" s="71"/>
      <c r="O173" s="71"/>
      <c r="AR173" s="71"/>
      <c r="AS173" s="71"/>
      <c r="AT173" s="71"/>
      <c r="AU173" s="71"/>
      <c r="AV173" s="71"/>
      <c r="AW173" s="71"/>
      <c r="AX173" s="71"/>
      <c r="AY173" s="71"/>
      <c r="AZ173" s="71"/>
      <c r="BA173" s="72"/>
      <c r="BB173" s="72"/>
      <c r="BC173" s="73"/>
      <c r="BD173" s="73"/>
      <c r="BE173" s="73"/>
      <c r="BF173" s="73"/>
      <c r="BG173" s="73"/>
    </row>
    <row r="174" spans="1:59" x14ac:dyDescent="0.3">
      <c r="A174" s="141"/>
      <c r="B174" s="314"/>
      <c r="C174" s="314"/>
      <c r="D174" s="314"/>
      <c r="E174" s="314"/>
      <c r="F174" s="314"/>
      <c r="G174" s="71"/>
      <c r="H174" s="71"/>
      <c r="I174" s="71"/>
      <c r="J174" s="71"/>
      <c r="K174" s="71"/>
      <c r="L174" s="71"/>
      <c r="M174" s="71"/>
      <c r="N174" s="71"/>
      <c r="O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2"/>
      <c r="BB174" s="72"/>
      <c r="BC174" s="73"/>
      <c r="BD174" s="73"/>
      <c r="BE174" s="73"/>
      <c r="BF174" s="73"/>
      <c r="BG174" s="73"/>
    </row>
    <row r="175" spans="1:59" x14ac:dyDescent="0.3">
      <c r="A175" s="141"/>
      <c r="B175" s="314"/>
      <c r="C175" s="314"/>
      <c r="D175" s="314"/>
      <c r="E175" s="314"/>
      <c r="F175" s="314"/>
      <c r="G175" s="71"/>
      <c r="H175" s="71"/>
      <c r="I175" s="71"/>
      <c r="J175" s="71"/>
      <c r="K175" s="71"/>
      <c r="L175" s="71"/>
      <c r="M175" s="71"/>
      <c r="N175" s="71"/>
      <c r="O175" s="71"/>
      <c r="AR175" s="71"/>
      <c r="AS175" s="71"/>
      <c r="AT175" s="71"/>
      <c r="AU175" s="71"/>
      <c r="AV175" s="71"/>
      <c r="AW175" s="71"/>
      <c r="AX175" s="71"/>
      <c r="AY175" s="71"/>
      <c r="AZ175" s="71"/>
      <c r="BA175" s="72"/>
      <c r="BB175" s="72"/>
      <c r="BC175" s="73"/>
      <c r="BD175" s="73"/>
      <c r="BE175" s="73"/>
      <c r="BF175" s="73"/>
      <c r="BG175" s="73"/>
    </row>
    <row r="176" spans="1:59" x14ac:dyDescent="0.3">
      <c r="A176" s="141"/>
      <c r="B176" s="314"/>
      <c r="C176" s="314"/>
      <c r="D176" s="314"/>
      <c r="E176" s="314"/>
      <c r="F176" s="314"/>
      <c r="G176" s="71"/>
      <c r="H176" s="71"/>
      <c r="I176" s="71"/>
      <c r="J176" s="71"/>
      <c r="K176" s="71"/>
      <c r="L176" s="71"/>
      <c r="M176" s="71"/>
      <c r="N176" s="71"/>
      <c r="O176" s="71"/>
      <c r="AR176" s="71"/>
      <c r="AS176" s="71"/>
      <c r="AT176" s="71"/>
      <c r="AU176" s="71"/>
      <c r="AV176" s="71"/>
      <c r="AW176" s="71"/>
      <c r="AX176" s="71"/>
      <c r="AY176" s="71"/>
      <c r="AZ176" s="71"/>
      <c r="BA176" s="72"/>
      <c r="BB176" s="72"/>
      <c r="BC176" s="73"/>
      <c r="BD176" s="73"/>
      <c r="BE176" s="73"/>
      <c r="BF176" s="73"/>
      <c r="BG176" s="73"/>
    </row>
    <row r="177" spans="1:59" x14ac:dyDescent="0.3">
      <c r="A177" s="141"/>
      <c r="B177" s="314"/>
      <c r="C177" s="314"/>
      <c r="D177" s="314"/>
      <c r="E177" s="314"/>
      <c r="F177" s="314"/>
      <c r="G177" s="71"/>
      <c r="H177" s="71"/>
      <c r="I177" s="71"/>
      <c r="J177" s="71"/>
      <c r="K177" s="71"/>
      <c r="L177" s="71"/>
      <c r="M177" s="71"/>
      <c r="N177" s="71"/>
      <c r="O177" s="71"/>
      <c r="AR177" s="71"/>
      <c r="AS177" s="71"/>
      <c r="AT177" s="71"/>
      <c r="AU177" s="71"/>
      <c r="AV177" s="71"/>
      <c r="AW177" s="71"/>
      <c r="AX177" s="71"/>
      <c r="AY177" s="71"/>
      <c r="AZ177" s="71"/>
      <c r="BA177" s="72"/>
      <c r="BB177" s="72"/>
      <c r="BC177" s="73"/>
      <c r="BD177" s="73"/>
      <c r="BE177" s="73"/>
      <c r="BF177" s="73"/>
      <c r="BG177" s="73"/>
    </row>
    <row r="178" spans="1:59" x14ac:dyDescent="0.3">
      <c r="A178" s="141"/>
      <c r="B178" s="314"/>
      <c r="C178" s="314"/>
      <c r="D178" s="314"/>
      <c r="E178" s="314"/>
      <c r="F178" s="314"/>
      <c r="G178" s="71"/>
      <c r="H178" s="71"/>
      <c r="I178" s="71"/>
      <c r="J178" s="71"/>
      <c r="K178" s="71"/>
      <c r="L178" s="71"/>
      <c r="M178" s="71"/>
      <c r="N178" s="71"/>
      <c r="O178" s="71"/>
      <c r="AR178" s="71"/>
      <c r="AS178" s="71"/>
      <c r="AT178" s="71"/>
      <c r="AU178" s="71"/>
      <c r="AV178" s="71"/>
      <c r="AW178" s="71"/>
      <c r="AX178" s="71"/>
      <c r="AY178" s="71"/>
      <c r="AZ178" s="71"/>
      <c r="BA178" s="72"/>
      <c r="BB178" s="72"/>
      <c r="BC178" s="73"/>
      <c r="BD178" s="73"/>
      <c r="BE178" s="73"/>
      <c r="BF178" s="73"/>
      <c r="BG178" s="73"/>
    </row>
    <row r="179" spans="1:59" x14ac:dyDescent="0.3">
      <c r="A179" s="141"/>
      <c r="B179" s="314"/>
      <c r="C179" s="314"/>
      <c r="D179" s="314"/>
      <c r="E179" s="314"/>
      <c r="F179" s="314"/>
      <c r="G179" s="71"/>
      <c r="H179" s="71"/>
      <c r="I179" s="71"/>
      <c r="J179" s="71"/>
      <c r="K179" s="71"/>
      <c r="L179" s="71"/>
      <c r="M179" s="71"/>
      <c r="N179" s="71"/>
      <c r="O179" s="71"/>
      <c r="AR179" s="71"/>
      <c r="AS179" s="71"/>
      <c r="AT179" s="71"/>
      <c r="AU179" s="71"/>
      <c r="AV179" s="71"/>
      <c r="AW179" s="71"/>
      <c r="AX179" s="71"/>
      <c r="AY179" s="71"/>
      <c r="AZ179" s="71"/>
      <c r="BA179" s="72"/>
      <c r="BB179" s="72"/>
      <c r="BC179" s="73"/>
      <c r="BD179" s="73"/>
      <c r="BE179" s="73"/>
      <c r="BF179" s="73"/>
      <c r="BG179" s="73"/>
    </row>
    <row r="180" spans="1:59" x14ac:dyDescent="0.3">
      <c r="A180" s="141"/>
      <c r="B180" s="314"/>
      <c r="C180" s="314"/>
      <c r="D180" s="314"/>
      <c r="E180" s="314"/>
      <c r="F180" s="314"/>
      <c r="G180" s="71"/>
      <c r="H180" s="71"/>
      <c r="I180" s="71"/>
      <c r="J180" s="71"/>
      <c r="K180" s="71"/>
      <c r="L180" s="71"/>
      <c r="M180" s="71"/>
      <c r="N180" s="71"/>
      <c r="O180" s="71"/>
      <c r="AR180" s="71"/>
      <c r="AS180" s="71"/>
      <c r="AT180" s="71"/>
      <c r="AU180" s="71"/>
      <c r="AV180" s="71"/>
      <c r="AW180" s="71"/>
      <c r="AX180" s="71"/>
      <c r="AY180" s="71"/>
      <c r="AZ180" s="71"/>
      <c r="BA180" s="72"/>
      <c r="BB180" s="72"/>
      <c r="BC180" s="73"/>
      <c r="BD180" s="73"/>
      <c r="BE180" s="73"/>
      <c r="BF180" s="73"/>
      <c r="BG180" s="73"/>
    </row>
    <row r="181" spans="1:59" x14ac:dyDescent="0.3">
      <c r="A181" s="141"/>
      <c r="B181" s="314"/>
      <c r="C181" s="314"/>
      <c r="D181" s="314"/>
      <c r="E181" s="314"/>
      <c r="F181" s="314"/>
      <c r="G181" s="71"/>
      <c r="H181" s="71"/>
      <c r="I181" s="71"/>
      <c r="J181" s="71"/>
      <c r="K181" s="71"/>
      <c r="L181" s="71"/>
      <c r="M181" s="71"/>
      <c r="N181" s="71"/>
      <c r="O181" s="71"/>
      <c r="AR181" s="71"/>
      <c r="AS181" s="71"/>
      <c r="AT181" s="71"/>
      <c r="AU181" s="71"/>
      <c r="AV181" s="71"/>
      <c r="AW181" s="71"/>
      <c r="AX181" s="71"/>
      <c r="AY181" s="71"/>
      <c r="AZ181" s="71"/>
      <c r="BA181" s="72"/>
      <c r="BB181" s="72"/>
      <c r="BC181" s="73"/>
      <c r="BD181" s="73"/>
      <c r="BE181" s="73"/>
      <c r="BF181" s="73"/>
      <c r="BG181" s="73"/>
    </row>
    <row r="182" spans="1:59" x14ac:dyDescent="0.3">
      <c r="A182" s="141"/>
      <c r="B182" s="314"/>
      <c r="C182" s="314"/>
      <c r="D182" s="314"/>
      <c r="E182" s="314"/>
      <c r="F182" s="314"/>
      <c r="G182" s="71"/>
      <c r="H182" s="71"/>
      <c r="I182" s="71"/>
      <c r="J182" s="71"/>
      <c r="K182" s="71"/>
      <c r="L182" s="71"/>
      <c r="M182" s="71"/>
      <c r="N182" s="71"/>
      <c r="O182" s="71"/>
      <c r="AR182" s="71"/>
      <c r="AS182" s="71"/>
      <c r="AT182" s="71"/>
      <c r="AU182" s="71"/>
      <c r="AV182" s="71"/>
      <c r="AW182" s="71"/>
      <c r="AX182" s="71"/>
      <c r="AY182" s="71"/>
      <c r="AZ182" s="71"/>
      <c r="BA182" s="72"/>
      <c r="BB182" s="72"/>
      <c r="BC182" s="73"/>
      <c r="BD182" s="73"/>
      <c r="BE182" s="73"/>
      <c r="BF182" s="73"/>
      <c r="BG182" s="73"/>
    </row>
    <row r="183" spans="1:59" x14ac:dyDescent="0.3">
      <c r="A183" s="141"/>
      <c r="B183" s="314"/>
      <c r="C183" s="314"/>
      <c r="D183" s="314"/>
      <c r="E183" s="314"/>
      <c r="F183" s="314"/>
      <c r="G183" s="71"/>
      <c r="H183" s="71"/>
      <c r="I183" s="71"/>
      <c r="J183" s="71"/>
      <c r="K183" s="71"/>
      <c r="L183" s="71"/>
      <c r="M183" s="71"/>
      <c r="N183" s="71"/>
      <c r="O183" s="71"/>
      <c r="AR183" s="71"/>
      <c r="AS183" s="71"/>
      <c r="AT183" s="71"/>
      <c r="AU183" s="71"/>
      <c r="AV183" s="71"/>
      <c r="AW183" s="71"/>
      <c r="AX183" s="71"/>
      <c r="AY183" s="71"/>
      <c r="AZ183" s="71"/>
      <c r="BA183" s="72"/>
      <c r="BB183" s="72"/>
      <c r="BC183" s="73"/>
      <c r="BD183" s="73"/>
      <c r="BE183" s="73"/>
      <c r="BF183" s="73"/>
      <c r="BG183" s="73"/>
    </row>
    <row r="184" spans="1:59" x14ac:dyDescent="0.3">
      <c r="A184" s="141"/>
      <c r="B184" s="314"/>
      <c r="C184" s="314"/>
      <c r="D184" s="314"/>
      <c r="E184" s="314"/>
      <c r="F184" s="314"/>
      <c r="G184" s="71"/>
      <c r="H184" s="71"/>
      <c r="I184" s="71"/>
      <c r="J184" s="71"/>
      <c r="K184" s="71"/>
      <c r="L184" s="71"/>
      <c r="M184" s="71"/>
      <c r="N184" s="71"/>
      <c r="O184" s="71"/>
      <c r="AR184" s="71"/>
      <c r="AS184" s="71"/>
      <c r="AT184" s="71"/>
      <c r="AU184" s="71"/>
      <c r="AV184" s="71"/>
      <c r="AW184" s="71"/>
      <c r="AX184" s="71"/>
      <c r="AY184" s="71"/>
      <c r="AZ184" s="71"/>
      <c r="BA184" s="72"/>
      <c r="BB184" s="72"/>
      <c r="BC184" s="73"/>
      <c r="BD184" s="73"/>
      <c r="BE184" s="73"/>
      <c r="BF184" s="73"/>
      <c r="BG184" s="73"/>
    </row>
    <row r="185" spans="1:59" x14ac:dyDescent="0.3">
      <c r="A185" s="141"/>
      <c r="B185" s="314"/>
      <c r="C185" s="314"/>
      <c r="D185" s="314"/>
      <c r="E185" s="314"/>
      <c r="F185" s="314"/>
      <c r="G185" s="71"/>
      <c r="H185" s="71"/>
      <c r="I185" s="71"/>
      <c r="J185" s="71"/>
      <c r="K185" s="71"/>
      <c r="L185" s="71"/>
      <c r="M185" s="71"/>
      <c r="N185" s="71"/>
      <c r="O185" s="71"/>
      <c r="AR185" s="71"/>
      <c r="AS185" s="71"/>
      <c r="AT185" s="71"/>
      <c r="AU185" s="71"/>
      <c r="AV185" s="71"/>
      <c r="AW185" s="71"/>
      <c r="AX185" s="71"/>
      <c r="AY185" s="71"/>
      <c r="AZ185" s="71"/>
      <c r="BA185" s="72"/>
      <c r="BB185" s="72"/>
      <c r="BC185" s="73"/>
      <c r="BD185" s="73"/>
      <c r="BE185" s="73"/>
      <c r="BF185" s="73"/>
      <c r="BG185" s="73"/>
    </row>
    <row r="186" spans="1:59" x14ac:dyDescent="0.3">
      <c r="A186" s="141"/>
      <c r="B186" s="314"/>
      <c r="C186" s="314"/>
      <c r="D186" s="314"/>
      <c r="E186" s="314"/>
      <c r="F186" s="314"/>
      <c r="G186" s="71"/>
      <c r="H186" s="71"/>
      <c r="I186" s="71"/>
      <c r="J186" s="71"/>
      <c r="K186" s="71"/>
      <c r="L186" s="71"/>
      <c r="M186" s="71"/>
      <c r="N186" s="71"/>
      <c r="O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2"/>
      <c r="BB186" s="72"/>
      <c r="BC186" s="73"/>
      <c r="BD186" s="73"/>
      <c r="BE186" s="73"/>
      <c r="BF186" s="73"/>
      <c r="BG186" s="73"/>
    </row>
    <row r="187" spans="1:59" x14ac:dyDescent="0.3">
      <c r="A187" s="141"/>
      <c r="B187" s="314"/>
      <c r="C187" s="314"/>
      <c r="D187" s="314"/>
      <c r="E187" s="314"/>
      <c r="F187" s="314"/>
      <c r="G187" s="71"/>
      <c r="H187" s="71"/>
      <c r="I187" s="71"/>
      <c r="J187" s="71"/>
      <c r="K187" s="71"/>
      <c r="L187" s="71"/>
      <c r="M187" s="71"/>
      <c r="N187" s="71"/>
      <c r="O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2"/>
      <c r="BB187" s="72"/>
      <c r="BC187" s="73"/>
      <c r="BD187" s="73"/>
      <c r="BE187" s="73"/>
      <c r="BF187" s="73"/>
      <c r="BG187" s="73"/>
    </row>
    <row r="188" spans="1:59" x14ac:dyDescent="0.3">
      <c r="A188" s="141"/>
      <c r="B188" s="314"/>
      <c r="C188" s="314"/>
      <c r="D188" s="314"/>
      <c r="E188" s="314"/>
      <c r="F188" s="314"/>
      <c r="G188" s="71"/>
      <c r="H188" s="71"/>
      <c r="I188" s="71"/>
      <c r="J188" s="71"/>
      <c r="K188" s="71"/>
      <c r="L188" s="71"/>
      <c r="M188" s="71"/>
      <c r="N188" s="71"/>
      <c r="O188" s="71"/>
      <c r="AR188" s="71"/>
      <c r="AS188" s="71"/>
      <c r="AT188" s="71"/>
      <c r="AU188" s="71"/>
      <c r="AV188" s="71"/>
      <c r="AW188" s="71"/>
      <c r="AX188" s="71"/>
      <c r="AY188" s="71"/>
      <c r="AZ188" s="71"/>
      <c r="BA188" s="72"/>
      <c r="BB188" s="72"/>
      <c r="BC188" s="73"/>
      <c r="BD188" s="73"/>
      <c r="BE188" s="73"/>
      <c r="BF188" s="73"/>
      <c r="BG188" s="73"/>
    </row>
    <row r="189" spans="1:59" x14ac:dyDescent="0.3">
      <c r="A189" s="141"/>
      <c r="B189" s="314"/>
      <c r="C189" s="314"/>
      <c r="D189" s="314"/>
      <c r="E189" s="314"/>
      <c r="F189" s="314"/>
      <c r="G189" s="71"/>
      <c r="H189" s="71"/>
      <c r="I189" s="71"/>
      <c r="J189" s="71"/>
      <c r="K189" s="71"/>
      <c r="L189" s="71"/>
      <c r="M189" s="71"/>
      <c r="N189" s="71"/>
      <c r="O189" s="71"/>
      <c r="AR189" s="71"/>
      <c r="AS189" s="71"/>
      <c r="AT189" s="71"/>
      <c r="AU189" s="71"/>
      <c r="AV189" s="71"/>
      <c r="AW189" s="71"/>
      <c r="AX189" s="71"/>
      <c r="AY189" s="71"/>
      <c r="AZ189" s="71"/>
      <c r="BA189" s="72"/>
      <c r="BB189" s="72"/>
      <c r="BC189" s="73"/>
      <c r="BD189" s="73"/>
      <c r="BE189" s="73"/>
      <c r="BF189" s="73"/>
      <c r="BG189" s="73"/>
    </row>
    <row r="190" spans="1:59" x14ac:dyDescent="0.3">
      <c r="A190" s="141"/>
      <c r="B190" s="314"/>
      <c r="C190" s="314"/>
      <c r="D190" s="314"/>
      <c r="E190" s="314"/>
      <c r="F190" s="314"/>
      <c r="G190" s="71"/>
      <c r="H190" s="71"/>
      <c r="I190" s="71"/>
      <c r="J190" s="71"/>
      <c r="K190" s="71"/>
      <c r="L190" s="71"/>
      <c r="M190" s="71"/>
      <c r="N190" s="71"/>
      <c r="O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2"/>
      <c r="BB190" s="72"/>
      <c r="BC190" s="73"/>
      <c r="BD190" s="73"/>
      <c r="BE190" s="73"/>
      <c r="BF190" s="73"/>
      <c r="BG190" s="73"/>
    </row>
    <row r="191" spans="1:59" x14ac:dyDescent="0.3">
      <c r="A191" s="141"/>
      <c r="B191" s="314"/>
      <c r="C191" s="314"/>
      <c r="D191" s="314"/>
      <c r="E191" s="314"/>
      <c r="F191" s="314"/>
      <c r="G191" s="71"/>
      <c r="H191" s="71"/>
      <c r="I191" s="71"/>
      <c r="J191" s="71"/>
      <c r="K191" s="71"/>
      <c r="L191" s="71"/>
      <c r="M191" s="71"/>
      <c r="N191" s="71"/>
      <c r="O191" s="71"/>
      <c r="AR191" s="71"/>
      <c r="AS191" s="71"/>
      <c r="AT191" s="71"/>
      <c r="AU191" s="71"/>
      <c r="AV191" s="71"/>
      <c r="AW191" s="71"/>
      <c r="AX191" s="71"/>
      <c r="AY191" s="71"/>
      <c r="AZ191" s="71"/>
      <c r="BA191" s="72"/>
      <c r="BB191" s="72"/>
      <c r="BC191" s="73"/>
      <c r="BD191" s="73"/>
      <c r="BE191" s="73"/>
      <c r="BF191" s="73"/>
      <c r="BG191" s="73"/>
    </row>
    <row r="192" spans="1:59" x14ac:dyDescent="0.3">
      <c r="A192" s="141"/>
      <c r="B192" s="314"/>
      <c r="C192" s="314"/>
      <c r="D192" s="314"/>
      <c r="E192" s="314"/>
      <c r="F192" s="314"/>
      <c r="G192" s="71"/>
      <c r="H192" s="71"/>
      <c r="I192" s="71"/>
      <c r="J192" s="71"/>
      <c r="K192" s="71"/>
      <c r="L192" s="71"/>
      <c r="M192" s="71"/>
      <c r="N192" s="71"/>
      <c r="O192" s="71"/>
      <c r="AR192" s="71"/>
      <c r="AS192" s="71"/>
      <c r="AT192" s="71"/>
      <c r="AU192" s="71"/>
      <c r="AV192" s="71"/>
      <c r="AW192" s="71"/>
      <c r="AX192" s="71"/>
      <c r="AY192" s="71"/>
      <c r="AZ192" s="71"/>
      <c r="BA192" s="72"/>
      <c r="BB192" s="72"/>
      <c r="BC192" s="73"/>
      <c r="BD192" s="73"/>
      <c r="BE192" s="73"/>
      <c r="BF192" s="73"/>
      <c r="BG192" s="73"/>
    </row>
    <row r="193" spans="1:59" x14ac:dyDescent="0.3">
      <c r="A193" s="141"/>
      <c r="B193" s="314"/>
      <c r="C193" s="314"/>
      <c r="D193" s="314"/>
      <c r="E193" s="314"/>
      <c r="F193" s="314"/>
      <c r="G193" s="71"/>
      <c r="H193" s="71"/>
      <c r="I193" s="71"/>
      <c r="J193" s="71"/>
      <c r="K193" s="71"/>
      <c r="L193" s="71"/>
      <c r="M193" s="71"/>
      <c r="N193" s="71"/>
      <c r="O193" s="71"/>
      <c r="AR193" s="71"/>
      <c r="AS193" s="71"/>
      <c r="AT193" s="71"/>
      <c r="AU193" s="71"/>
      <c r="AV193" s="71"/>
      <c r="AW193" s="71"/>
      <c r="AX193" s="71"/>
      <c r="AY193" s="71"/>
      <c r="AZ193" s="71"/>
      <c r="BA193" s="72"/>
      <c r="BB193" s="72"/>
      <c r="BC193" s="73"/>
      <c r="BD193" s="73"/>
      <c r="BE193" s="73"/>
      <c r="BF193" s="73"/>
      <c r="BG193" s="73"/>
    </row>
    <row r="194" spans="1:59" x14ac:dyDescent="0.3">
      <c r="A194" s="141"/>
      <c r="B194" s="314"/>
      <c r="C194" s="314"/>
      <c r="D194" s="314"/>
      <c r="E194" s="314"/>
      <c r="F194" s="314"/>
      <c r="G194" s="71"/>
      <c r="H194" s="71"/>
      <c r="I194" s="71"/>
      <c r="J194" s="71"/>
      <c r="K194" s="71"/>
      <c r="L194" s="71"/>
      <c r="M194" s="71"/>
      <c r="N194" s="71"/>
      <c r="O194" s="71"/>
      <c r="AR194" s="71"/>
      <c r="AS194" s="71"/>
      <c r="AT194" s="71"/>
      <c r="AU194" s="71"/>
      <c r="AV194" s="71"/>
      <c r="AW194" s="71"/>
      <c r="AX194" s="71"/>
      <c r="AY194" s="71"/>
      <c r="AZ194" s="71"/>
      <c r="BA194" s="72"/>
      <c r="BB194" s="72"/>
      <c r="BC194" s="73"/>
      <c r="BD194" s="73"/>
      <c r="BE194" s="73"/>
      <c r="BF194" s="73"/>
      <c r="BG194" s="73"/>
    </row>
    <row r="195" spans="1:59" x14ac:dyDescent="0.3">
      <c r="A195" s="141"/>
      <c r="B195" s="314"/>
      <c r="C195" s="314"/>
      <c r="D195" s="314"/>
      <c r="E195" s="314"/>
      <c r="F195" s="314"/>
      <c r="G195" s="71"/>
      <c r="H195" s="71"/>
      <c r="I195" s="71"/>
      <c r="J195" s="71"/>
      <c r="K195" s="71"/>
      <c r="L195" s="71"/>
      <c r="M195" s="71"/>
      <c r="N195" s="71"/>
      <c r="O195" s="71"/>
      <c r="AR195" s="71"/>
      <c r="AS195" s="71"/>
      <c r="AT195" s="71"/>
      <c r="AU195" s="71"/>
      <c r="AV195" s="71"/>
      <c r="AW195" s="71"/>
      <c r="AX195" s="71"/>
      <c r="AY195" s="71"/>
      <c r="AZ195" s="71"/>
      <c r="BA195" s="72"/>
      <c r="BB195" s="72"/>
      <c r="BC195" s="73"/>
      <c r="BD195" s="73"/>
      <c r="BE195" s="73"/>
      <c r="BF195" s="73"/>
      <c r="BG195" s="73"/>
    </row>
    <row r="196" spans="1:59" x14ac:dyDescent="0.3">
      <c r="A196" s="141"/>
      <c r="B196" s="314"/>
      <c r="C196" s="314"/>
      <c r="D196" s="314"/>
      <c r="E196" s="314"/>
      <c r="F196" s="314"/>
      <c r="G196" s="71"/>
      <c r="H196" s="71"/>
      <c r="I196" s="71"/>
      <c r="J196" s="71"/>
      <c r="K196" s="71"/>
      <c r="L196" s="71"/>
      <c r="M196" s="71"/>
      <c r="N196" s="71"/>
      <c r="O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2"/>
      <c r="BB196" s="72"/>
      <c r="BC196" s="73"/>
      <c r="BD196" s="73"/>
      <c r="BE196" s="73"/>
      <c r="BF196" s="73"/>
      <c r="BG196" s="73"/>
    </row>
    <row r="197" spans="1:59" x14ac:dyDescent="0.3">
      <c r="A197" s="141"/>
      <c r="B197" s="314"/>
      <c r="C197" s="314"/>
      <c r="D197" s="314"/>
      <c r="E197" s="314"/>
      <c r="F197" s="314"/>
      <c r="G197" s="71"/>
      <c r="H197" s="71"/>
      <c r="I197" s="71"/>
      <c r="J197" s="71"/>
      <c r="K197" s="71"/>
      <c r="L197" s="71"/>
      <c r="M197" s="71"/>
      <c r="N197" s="71"/>
      <c r="O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2"/>
      <c r="BB197" s="72"/>
      <c r="BC197" s="73"/>
      <c r="BD197" s="73"/>
      <c r="BE197" s="73"/>
      <c r="BF197" s="73"/>
      <c r="BG197" s="73"/>
    </row>
    <row r="198" spans="1:59" x14ac:dyDescent="0.3">
      <c r="A198" s="141"/>
      <c r="B198" s="314"/>
      <c r="C198" s="314"/>
      <c r="D198" s="314"/>
      <c r="E198" s="314"/>
      <c r="F198" s="314"/>
      <c r="G198" s="71"/>
      <c r="H198" s="71"/>
      <c r="I198" s="71"/>
      <c r="J198" s="71"/>
      <c r="K198" s="71"/>
      <c r="L198" s="71"/>
      <c r="M198" s="71"/>
      <c r="N198" s="71"/>
      <c r="O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2"/>
      <c r="BB198" s="72"/>
      <c r="BC198" s="73"/>
      <c r="BD198" s="73"/>
      <c r="BE198" s="73"/>
      <c r="BF198" s="73"/>
      <c r="BG198" s="73"/>
    </row>
    <row r="199" spans="1:59" x14ac:dyDescent="0.3">
      <c r="A199" s="141"/>
      <c r="B199" s="314"/>
      <c r="C199" s="314"/>
      <c r="D199" s="314"/>
      <c r="E199" s="314"/>
      <c r="F199" s="314"/>
      <c r="G199" s="71"/>
      <c r="H199" s="71"/>
      <c r="I199" s="71"/>
      <c r="J199" s="71"/>
      <c r="K199" s="71"/>
      <c r="L199" s="71"/>
      <c r="M199" s="71"/>
      <c r="N199" s="71"/>
      <c r="O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2"/>
      <c r="BB199" s="72"/>
      <c r="BC199" s="73"/>
      <c r="BD199" s="73"/>
      <c r="BE199" s="73"/>
      <c r="BF199" s="73"/>
      <c r="BG199" s="73"/>
    </row>
    <row r="200" spans="1:59" x14ac:dyDescent="0.3">
      <c r="A200" s="141"/>
      <c r="B200" s="314"/>
      <c r="C200" s="314"/>
      <c r="D200" s="314"/>
      <c r="E200" s="314"/>
      <c r="F200" s="314"/>
      <c r="G200" s="71"/>
      <c r="H200" s="71"/>
      <c r="I200" s="71"/>
      <c r="J200" s="71"/>
      <c r="K200" s="71"/>
      <c r="L200" s="71"/>
      <c r="M200" s="71"/>
      <c r="N200" s="71"/>
      <c r="O200" s="71"/>
      <c r="AR200" s="71"/>
      <c r="AS200" s="71"/>
      <c r="AT200" s="71"/>
      <c r="AU200" s="71"/>
      <c r="AV200" s="71"/>
      <c r="AW200" s="71"/>
      <c r="AX200" s="71"/>
      <c r="AY200" s="71"/>
      <c r="AZ200" s="71"/>
      <c r="BA200" s="72"/>
      <c r="BB200" s="72"/>
      <c r="BC200" s="73"/>
      <c r="BD200" s="73"/>
      <c r="BE200" s="73"/>
      <c r="BF200" s="73"/>
      <c r="BG200" s="73"/>
    </row>
    <row r="201" spans="1:59" x14ac:dyDescent="0.3">
      <c r="A201" s="141"/>
      <c r="B201" s="314"/>
      <c r="C201" s="314"/>
      <c r="D201" s="314"/>
      <c r="E201" s="314"/>
      <c r="F201" s="314"/>
      <c r="G201" s="71"/>
      <c r="H201" s="71"/>
      <c r="I201" s="71"/>
      <c r="J201" s="71"/>
      <c r="K201" s="71"/>
      <c r="L201" s="71"/>
      <c r="M201" s="71"/>
      <c r="N201" s="71"/>
      <c r="O201" s="71"/>
      <c r="AR201" s="71"/>
      <c r="AS201" s="71"/>
      <c r="AT201" s="71"/>
      <c r="AU201" s="71"/>
      <c r="AV201" s="71"/>
      <c r="AW201" s="71"/>
      <c r="AX201" s="71"/>
      <c r="AY201" s="71"/>
      <c r="AZ201" s="71"/>
      <c r="BA201" s="72"/>
      <c r="BB201" s="72"/>
      <c r="BC201" s="73"/>
      <c r="BD201" s="73"/>
      <c r="BE201" s="73"/>
      <c r="BF201" s="73"/>
      <c r="BG201" s="73"/>
    </row>
    <row r="202" spans="1:59" x14ac:dyDescent="0.3">
      <c r="A202" s="141"/>
      <c r="B202" s="314"/>
      <c r="C202" s="314"/>
      <c r="D202" s="314"/>
      <c r="E202" s="314"/>
      <c r="F202" s="314"/>
      <c r="G202" s="71"/>
      <c r="H202" s="71"/>
      <c r="I202" s="71"/>
      <c r="J202" s="71"/>
      <c r="K202" s="71"/>
      <c r="L202" s="71"/>
      <c r="M202" s="71"/>
      <c r="N202" s="71"/>
      <c r="O202" s="71"/>
      <c r="AR202" s="71"/>
      <c r="AS202" s="71"/>
      <c r="AT202" s="71"/>
      <c r="AU202" s="71"/>
      <c r="AV202" s="71"/>
      <c r="AW202" s="71"/>
      <c r="AX202" s="71"/>
      <c r="AY202" s="71"/>
      <c r="AZ202" s="71"/>
      <c r="BA202" s="72"/>
      <c r="BB202" s="72"/>
      <c r="BC202" s="73"/>
      <c r="BD202" s="73"/>
      <c r="BE202" s="73"/>
      <c r="BF202" s="73"/>
      <c r="BG202" s="73"/>
    </row>
    <row r="203" spans="1:59" x14ac:dyDescent="0.3">
      <c r="A203" s="141"/>
      <c r="B203" s="314"/>
      <c r="C203" s="314"/>
      <c r="D203" s="314"/>
      <c r="E203" s="314"/>
      <c r="F203" s="314"/>
      <c r="G203" s="71"/>
      <c r="H203" s="71"/>
      <c r="I203" s="71"/>
      <c r="J203" s="71"/>
      <c r="K203" s="71"/>
      <c r="L203" s="71"/>
      <c r="M203" s="71"/>
      <c r="N203" s="71"/>
      <c r="O203" s="71"/>
      <c r="AR203" s="71"/>
      <c r="AS203" s="71"/>
      <c r="AT203" s="71"/>
      <c r="AU203" s="71"/>
      <c r="AV203" s="71"/>
      <c r="AW203" s="71"/>
      <c r="AX203" s="71"/>
      <c r="AY203" s="71"/>
      <c r="AZ203" s="71"/>
      <c r="BA203" s="72"/>
      <c r="BB203" s="72"/>
      <c r="BC203" s="73"/>
      <c r="BD203" s="73"/>
      <c r="BE203" s="73"/>
      <c r="BF203" s="73"/>
      <c r="BG203" s="73"/>
    </row>
    <row r="204" spans="1:59" x14ac:dyDescent="0.3">
      <c r="A204" s="141"/>
      <c r="B204" s="314"/>
      <c r="C204" s="314"/>
      <c r="D204" s="314"/>
      <c r="E204" s="314"/>
      <c r="F204" s="314"/>
      <c r="G204" s="71"/>
      <c r="H204" s="71"/>
      <c r="I204" s="71"/>
      <c r="J204" s="71"/>
      <c r="K204" s="71"/>
      <c r="L204" s="71"/>
      <c r="M204" s="71"/>
      <c r="N204" s="71"/>
      <c r="O204" s="71"/>
      <c r="AR204" s="71"/>
      <c r="AS204" s="71"/>
      <c r="AT204" s="71"/>
      <c r="AU204" s="71"/>
      <c r="AV204" s="71"/>
      <c r="AW204" s="71"/>
      <c r="AX204" s="71"/>
      <c r="AY204" s="71"/>
      <c r="AZ204" s="71"/>
      <c r="BA204" s="72"/>
      <c r="BB204" s="72"/>
      <c r="BC204" s="73"/>
      <c r="BD204" s="73"/>
      <c r="BE204" s="73"/>
      <c r="BF204" s="73"/>
      <c r="BG204" s="73"/>
    </row>
    <row r="205" spans="1:59" x14ac:dyDescent="0.3">
      <c r="A205" s="141"/>
      <c r="B205" s="314"/>
      <c r="C205" s="314"/>
      <c r="D205" s="314"/>
      <c r="E205" s="314"/>
      <c r="F205" s="314"/>
      <c r="G205" s="71"/>
      <c r="H205" s="71"/>
      <c r="I205" s="71"/>
      <c r="J205" s="71"/>
      <c r="K205" s="71"/>
      <c r="L205" s="71"/>
      <c r="M205" s="71"/>
      <c r="N205" s="71"/>
      <c r="O205" s="71"/>
      <c r="AR205" s="71"/>
      <c r="AS205" s="71"/>
      <c r="AT205" s="71"/>
      <c r="AU205" s="71"/>
      <c r="AV205" s="71"/>
      <c r="AW205" s="71"/>
      <c r="AX205" s="71"/>
      <c r="AY205" s="71"/>
      <c r="AZ205" s="71"/>
      <c r="BA205" s="72"/>
      <c r="BB205" s="72"/>
      <c r="BC205" s="73"/>
      <c r="BD205" s="73"/>
      <c r="BE205" s="73"/>
      <c r="BF205" s="73"/>
      <c r="BG205" s="73"/>
    </row>
    <row r="206" spans="1:59" x14ac:dyDescent="0.3">
      <c r="A206" s="141"/>
      <c r="B206" s="314"/>
      <c r="C206" s="314"/>
      <c r="D206" s="314"/>
      <c r="E206" s="314"/>
      <c r="F206" s="314"/>
      <c r="G206" s="71"/>
      <c r="H206" s="71"/>
      <c r="I206" s="71"/>
      <c r="J206" s="71"/>
      <c r="K206" s="71"/>
      <c r="L206" s="71"/>
      <c r="M206" s="71"/>
      <c r="N206" s="71"/>
      <c r="O206" s="71"/>
      <c r="AR206" s="71"/>
      <c r="AS206" s="71"/>
      <c r="AT206" s="71"/>
      <c r="AU206" s="71"/>
      <c r="AV206" s="71"/>
      <c r="AW206" s="71"/>
      <c r="AX206" s="71"/>
      <c r="AY206" s="71"/>
      <c r="AZ206" s="71"/>
      <c r="BA206" s="72"/>
      <c r="BB206" s="72"/>
      <c r="BC206" s="73"/>
      <c r="BD206" s="73"/>
      <c r="BE206" s="73"/>
      <c r="BF206" s="73"/>
      <c r="BG206" s="73"/>
    </row>
    <row r="207" spans="1:59" x14ac:dyDescent="0.3">
      <c r="A207" s="141"/>
      <c r="B207" s="314"/>
      <c r="C207" s="314"/>
      <c r="D207" s="314"/>
      <c r="E207" s="314"/>
      <c r="F207" s="314"/>
      <c r="G207" s="71"/>
      <c r="H207" s="71"/>
      <c r="I207" s="71"/>
      <c r="J207" s="71"/>
      <c r="K207" s="71"/>
      <c r="L207" s="71"/>
      <c r="M207" s="71"/>
      <c r="N207" s="71"/>
      <c r="O207" s="71"/>
      <c r="AR207" s="71"/>
      <c r="AS207" s="71"/>
      <c r="AT207" s="71"/>
      <c r="AU207" s="71"/>
      <c r="AV207" s="71"/>
      <c r="AW207" s="71"/>
      <c r="AX207" s="71"/>
      <c r="AY207" s="71"/>
      <c r="AZ207" s="71"/>
      <c r="BA207" s="72"/>
      <c r="BB207" s="72"/>
      <c r="BC207" s="73"/>
      <c r="BD207" s="73"/>
      <c r="BE207" s="73"/>
      <c r="BF207" s="73"/>
      <c r="BG207" s="73"/>
    </row>
    <row r="208" spans="1:59" x14ac:dyDescent="0.3">
      <c r="A208" s="141"/>
      <c r="B208" s="314"/>
      <c r="C208" s="314"/>
      <c r="D208" s="314"/>
      <c r="E208" s="314"/>
      <c r="F208" s="314"/>
      <c r="G208" s="71"/>
      <c r="H208" s="71"/>
      <c r="I208" s="71"/>
      <c r="J208" s="71"/>
      <c r="K208" s="71"/>
      <c r="L208" s="71"/>
      <c r="M208" s="71"/>
      <c r="N208" s="71"/>
      <c r="O208" s="71"/>
      <c r="AR208" s="71"/>
      <c r="AS208" s="71"/>
      <c r="AT208" s="71"/>
      <c r="AU208" s="71"/>
      <c r="AV208" s="71"/>
      <c r="AW208" s="71"/>
      <c r="AX208" s="71"/>
      <c r="AY208" s="71"/>
      <c r="AZ208" s="71"/>
      <c r="BA208" s="72"/>
      <c r="BB208" s="72"/>
      <c r="BC208" s="73"/>
      <c r="BD208" s="73"/>
      <c r="BE208" s="73"/>
      <c r="BF208" s="73"/>
      <c r="BG208" s="73"/>
    </row>
    <row r="209" spans="1:59" x14ac:dyDescent="0.3">
      <c r="A209" s="141"/>
      <c r="B209" s="314"/>
      <c r="C209" s="314"/>
      <c r="D209" s="314"/>
      <c r="E209" s="314"/>
      <c r="F209" s="314"/>
      <c r="G209" s="71"/>
      <c r="H209" s="71"/>
      <c r="I209" s="71"/>
      <c r="J209" s="71"/>
      <c r="K209" s="71"/>
      <c r="L209" s="71"/>
      <c r="M209" s="71"/>
      <c r="N209" s="71"/>
      <c r="O209" s="71"/>
      <c r="AR209" s="71"/>
      <c r="AS209" s="71"/>
      <c r="AT209" s="71"/>
      <c r="AU209" s="71"/>
      <c r="AV209" s="71"/>
      <c r="AW209" s="71"/>
      <c r="AX209" s="71"/>
      <c r="AY209" s="71"/>
      <c r="AZ209" s="71"/>
      <c r="BA209" s="72"/>
      <c r="BB209" s="72"/>
      <c r="BC209" s="73"/>
      <c r="BD209" s="73"/>
      <c r="BE209" s="73"/>
      <c r="BF209" s="73"/>
      <c r="BG209" s="73"/>
    </row>
    <row r="210" spans="1:59" x14ac:dyDescent="0.3">
      <c r="A210" s="141"/>
      <c r="B210" s="314"/>
      <c r="C210" s="314"/>
      <c r="D210" s="314"/>
      <c r="E210" s="314"/>
      <c r="F210" s="314"/>
      <c r="G210" s="71"/>
      <c r="H210" s="71"/>
      <c r="I210" s="71"/>
      <c r="J210" s="71"/>
      <c r="K210" s="71"/>
      <c r="L210" s="71"/>
      <c r="M210" s="71"/>
      <c r="N210" s="71"/>
      <c r="O210" s="71"/>
      <c r="AR210" s="71"/>
      <c r="AS210" s="71"/>
      <c r="AT210" s="71"/>
      <c r="AU210" s="71"/>
      <c r="AV210" s="71"/>
      <c r="AW210" s="71"/>
      <c r="AX210" s="71"/>
      <c r="AY210" s="71"/>
      <c r="AZ210" s="71"/>
      <c r="BA210" s="72"/>
      <c r="BB210" s="72"/>
      <c r="BC210" s="73"/>
      <c r="BD210" s="73"/>
      <c r="BE210" s="73"/>
      <c r="BF210" s="73"/>
      <c r="BG210" s="73"/>
    </row>
    <row r="211" spans="1:59" x14ac:dyDescent="0.3">
      <c r="A211" s="141"/>
      <c r="B211" s="314"/>
      <c r="C211" s="314"/>
      <c r="D211" s="314"/>
      <c r="E211" s="314"/>
      <c r="F211" s="314"/>
      <c r="G211" s="71"/>
      <c r="H211" s="71"/>
      <c r="I211" s="71"/>
      <c r="J211" s="71"/>
      <c r="K211" s="71"/>
      <c r="L211" s="71"/>
      <c r="M211" s="71"/>
      <c r="N211" s="71"/>
      <c r="O211" s="71"/>
      <c r="AR211" s="71"/>
      <c r="AS211" s="71"/>
      <c r="AT211" s="71"/>
      <c r="AU211" s="71"/>
      <c r="AV211" s="71"/>
      <c r="AW211" s="71"/>
      <c r="AX211" s="71"/>
      <c r="AY211" s="71"/>
      <c r="AZ211" s="71"/>
      <c r="BA211" s="72"/>
      <c r="BB211" s="72"/>
      <c r="BC211" s="73"/>
      <c r="BD211" s="73"/>
      <c r="BE211" s="73"/>
      <c r="BF211" s="73"/>
      <c r="BG211" s="73"/>
    </row>
    <row r="212" spans="1:59" x14ac:dyDescent="0.3">
      <c r="A212" s="141"/>
      <c r="B212" s="314"/>
      <c r="C212" s="314"/>
      <c r="D212" s="314"/>
      <c r="E212" s="314"/>
      <c r="F212" s="314"/>
      <c r="G212" s="71"/>
      <c r="H212" s="71"/>
      <c r="I212" s="71"/>
      <c r="J212" s="71"/>
      <c r="K212" s="71"/>
      <c r="L212" s="71"/>
      <c r="M212" s="71"/>
      <c r="N212" s="71"/>
      <c r="O212" s="71"/>
      <c r="AR212" s="71"/>
      <c r="AS212" s="71"/>
      <c r="AT212" s="71"/>
      <c r="AU212" s="71"/>
      <c r="AV212" s="71"/>
      <c r="AW212" s="71"/>
      <c r="AX212" s="71"/>
      <c r="AY212" s="71"/>
      <c r="AZ212" s="71"/>
      <c r="BA212" s="72"/>
      <c r="BB212" s="72"/>
      <c r="BC212" s="73"/>
      <c r="BD212" s="73"/>
      <c r="BE212" s="73"/>
      <c r="BF212" s="73"/>
      <c r="BG212" s="73"/>
    </row>
    <row r="213" spans="1:59" x14ac:dyDescent="0.3">
      <c r="A213" s="141"/>
      <c r="B213" s="314"/>
      <c r="C213" s="314"/>
      <c r="D213" s="314"/>
      <c r="E213" s="314"/>
      <c r="F213" s="314"/>
      <c r="G213" s="71"/>
      <c r="H213" s="71"/>
      <c r="I213" s="71"/>
      <c r="J213" s="71"/>
      <c r="K213" s="71"/>
      <c r="L213" s="71"/>
      <c r="M213" s="71"/>
      <c r="N213" s="71"/>
      <c r="O213" s="71"/>
      <c r="AR213" s="71"/>
      <c r="AS213" s="71"/>
      <c r="AT213" s="71"/>
      <c r="AU213" s="71"/>
      <c r="AV213" s="71"/>
      <c r="AW213" s="71"/>
      <c r="AX213" s="71"/>
      <c r="AY213" s="71"/>
      <c r="AZ213" s="71"/>
      <c r="BA213" s="72"/>
      <c r="BB213" s="72"/>
      <c r="BC213" s="73"/>
      <c r="BD213" s="73"/>
      <c r="BE213" s="73"/>
      <c r="BF213" s="73"/>
      <c r="BG213" s="73"/>
    </row>
    <row r="214" spans="1:59" x14ac:dyDescent="0.3">
      <c r="A214" s="141"/>
      <c r="B214" s="314"/>
      <c r="C214" s="314"/>
      <c r="D214" s="314"/>
      <c r="E214" s="314"/>
      <c r="F214" s="314"/>
      <c r="G214" s="71"/>
      <c r="H214" s="71"/>
      <c r="I214" s="71"/>
      <c r="J214" s="71"/>
      <c r="K214" s="71"/>
      <c r="L214" s="71"/>
      <c r="M214" s="71"/>
      <c r="N214" s="71"/>
      <c r="O214" s="71"/>
      <c r="AR214" s="71"/>
      <c r="AS214" s="71"/>
      <c r="AT214" s="71"/>
      <c r="AU214" s="71"/>
      <c r="AV214" s="71"/>
      <c r="AW214" s="71"/>
      <c r="AX214" s="71"/>
      <c r="AY214" s="71"/>
      <c r="AZ214" s="71"/>
      <c r="BA214" s="72"/>
      <c r="BB214" s="72"/>
      <c r="BC214" s="73"/>
      <c r="BD214" s="73"/>
      <c r="BE214" s="73"/>
      <c r="BF214" s="73"/>
      <c r="BG214" s="73"/>
    </row>
    <row r="215" spans="1:59" x14ac:dyDescent="0.3">
      <c r="A215" s="141"/>
      <c r="B215" s="314"/>
      <c r="C215" s="314"/>
      <c r="D215" s="314"/>
      <c r="E215" s="314"/>
      <c r="F215" s="314"/>
      <c r="G215" s="71"/>
      <c r="H215" s="71"/>
      <c r="I215" s="71"/>
      <c r="J215" s="71"/>
      <c r="K215" s="71"/>
      <c r="L215" s="71"/>
      <c r="M215" s="71"/>
      <c r="N215" s="71"/>
      <c r="O215" s="71"/>
      <c r="AR215" s="71"/>
      <c r="AS215" s="71"/>
      <c r="AT215" s="71"/>
      <c r="AU215" s="71"/>
      <c r="AV215" s="71"/>
      <c r="AW215" s="71"/>
      <c r="AX215" s="71"/>
      <c r="AY215" s="71"/>
      <c r="AZ215" s="71"/>
      <c r="BA215" s="72"/>
      <c r="BB215" s="72"/>
      <c r="BC215" s="73"/>
      <c r="BD215" s="73"/>
      <c r="BE215" s="73"/>
      <c r="BF215" s="73"/>
      <c r="BG215" s="73"/>
    </row>
    <row r="216" spans="1:59" x14ac:dyDescent="0.3">
      <c r="A216" s="141"/>
      <c r="B216" s="314"/>
      <c r="C216" s="314"/>
      <c r="D216" s="314"/>
      <c r="E216" s="314"/>
      <c r="F216" s="314"/>
      <c r="G216" s="71"/>
      <c r="H216" s="71"/>
      <c r="I216" s="71"/>
      <c r="J216" s="71"/>
      <c r="K216" s="71"/>
      <c r="L216" s="71"/>
      <c r="M216" s="71"/>
      <c r="N216" s="71"/>
      <c r="O216" s="71"/>
      <c r="AR216" s="71"/>
      <c r="AS216" s="71"/>
      <c r="AT216" s="71"/>
      <c r="AU216" s="71"/>
      <c r="AV216" s="71"/>
      <c r="AW216" s="71"/>
      <c r="AX216" s="71"/>
      <c r="AY216" s="71"/>
      <c r="AZ216" s="71"/>
      <c r="BA216" s="72"/>
      <c r="BB216" s="72"/>
      <c r="BC216" s="73"/>
      <c r="BD216" s="73"/>
      <c r="BE216" s="73"/>
      <c r="BF216" s="73"/>
      <c r="BG216" s="73"/>
    </row>
    <row r="217" spans="1:59" x14ac:dyDescent="0.3">
      <c r="A217" s="141"/>
      <c r="B217" s="314"/>
      <c r="C217" s="314"/>
      <c r="D217" s="314"/>
      <c r="E217" s="314"/>
      <c r="F217" s="314"/>
      <c r="G217" s="71"/>
      <c r="H217" s="71"/>
      <c r="I217" s="71"/>
      <c r="J217" s="71"/>
      <c r="K217" s="71"/>
      <c r="L217" s="71"/>
      <c r="M217" s="71"/>
      <c r="N217" s="71"/>
      <c r="O217" s="71"/>
      <c r="AR217" s="71"/>
      <c r="AS217" s="71"/>
      <c r="AT217" s="71"/>
      <c r="AU217" s="71"/>
      <c r="AV217" s="71"/>
      <c r="AW217" s="71"/>
      <c r="AX217" s="71"/>
      <c r="AY217" s="71"/>
      <c r="AZ217" s="71"/>
      <c r="BA217" s="72"/>
      <c r="BB217" s="72"/>
      <c r="BC217" s="73"/>
      <c r="BD217" s="73"/>
      <c r="BE217" s="73"/>
      <c r="BF217" s="73"/>
      <c r="BG217" s="73"/>
    </row>
    <row r="218" spans="1:59" x14ac:dyDescent="0.3">
      <c r="A218" s="141"/>
      <c r="B218" s="314"/>
      <c r="C218" s="314"/>
      <c r="D218" s="314"/>
      <c r="E218" s="314"/>
      <c r="F218" s="314"/>
      <c r="G218" s="71"/>
      <c r="H218" s="71"/>
      <c r="I218" s="71"/>
      <c r="J218" s="71"/>
      <c r="K218" s="71"/>
      <c r="L218" s="71"/>
      <c r="M218" s="71"/>
      <c r="N218" s="71"/>
      <c r="O218" s="71"/>
      <c r="AR218" s="71"/>
      <c r="AS218" s="71"/>
      <c r="AT218" s="71"/>
      <c r="AU218" s="71"/>
      <c r="AV218" s="71"/>
      <c r="AW218" s="71"/>
      <c r="AX218" s="71"/>
      <c r="AY218" s="71"/>
      <c r="AZ218" s="71"/>
      <c r="BA218" s="72"/>
      <c r="BB218" s="72"/>
      <c r="BC218" s="73"/>
      <c r="BD218" s="73"/>
      <c r="BE218" s="73"/>
      <c r="BF218" s="73"/>
      <c r="BG218" s="73"/>
    </row>
    <row r="219" spans="1:59" x14ac:dyDescent="0.3">
      <c r="A219" s="141"/>
      <c r="B219" s="314"/>
      <c r="C219" s="314"/>
      <c r="D219" s="314"/>
      <c r="E219" s="314"/>
      <c r="F219" s="314"/>
      <c r="G219" s="71"/>
      <c r="H219" s="71"/>
      <c r="I219" s="71"/>
      <c r="J219" s="71"/>
      <c r="K219" s="71"/>
      <c r="L219" s="71"/>
      <c r="M219" s="71"/>
      <c r="N219" s="71"/>
      <c r="O219" s="71"/>
      <c r="AR219" s="71"/>
      <c r="AS219" s="71"/>
      <c r="AT219" s="71"/>
      <c r="AU219" s="71"/>
      <c r="AV219" s="71"/>
      <c r="AW219" s="71"/>
      <c r="AX219" s="71"/>
      <c r="AY219" s="71"/>
      <c r="AZ219" s="71"/>
      <c r="BA219" s="72"/>
      <c r="BB219" s="72"/>
      <c r="BC219" s="73"/>
      <c r="BD219" s="73"/>
      <c r="BE219" s="73"/>
      <c r="BF219" s="73"/>
      <c r="BG219" s="73"/>
    </row>
    <row r="220" spans="1:59" x14ac:dyDescent="0.3">
      <c r="A220" s="141"/>
      <c r="B220" s="314"/>
      <c r="C220" s="314"/>
      <c r="D220" s="314"/>
      <c r="E220" s="314"/>
      <c r="F220" s="314"/>
      <c r="G220" s="71"/>
      <c r="H220" s="71"/>
      <c r="I220" s="71"/>
      <c r="J220" s="71"/>
      <c r="K220" s="71"/>
      <c r="L220" s="71"/>
      <c r="M220" s="71"/>
      <c r="N220" s="71"/>
      <c r="O220" s="71"/>
      <c r="AR220" s="71"/>
      <c r="AS220" s="71"/>
      <c r="AT220" s="71"/>
      <c r="AU220" s="71"/>
      <c r="AV220" s="71"/>
      <c r="AW220" s="71"/>
      <c r="AX220" s="71"/>
      <c r="AY220" s="71"/>
      <c r="AZ220" s="71"/>
      <c r="BA220" s="72"/>
      <c r="BB220" s="72"/>
      <c r="BC220" s="73"/>
      <c r="BD220" s="73"/>
      <c r="BE220" s="73"/>
      <c r="BF220" s="73"/>
      <c r="BG220" s="73"/>
    </row>
    <row r="221" spans="1:59" x14ac:dyDescent="0.3">
      <c r="A221" s="141"/>
      <c r="B221" s="314"/>
      <c r="C221" s="314"/>
      <c r="D221" s="314"/>
      <c r="E221" s="314"/>
      <c r="F221" s="314"/>
      <c r="G221" s="71"/>
      <c r="H221" s="71"/>
      <c r="I221" s="71"/>
      <c r="J221" s="71"/>
      <c r="K221" s="71"/>
      <c r="L221" s="71"/>
      <c r="M221" s="71"/>
      <c r="N221" s="71"/>
      <c r="O221" s="71"/>
      <c r="AR221" s="71"/>
      <c r="AS221" s="71"/>
      <c r="AT221" s="71"/>
      <c r="AU221" s="71"/>
      <c r="AV221" s="71"/>
      <c r="AW221" s="71"/>
      <c r="AX221" s="71"/>
      <c r="AY221" s="71"/>
      <c r="AZ221" s="71"/>
      <c r="BA221" s="72"/>
      <c r="BB221" s="72"/>
      <c r="BC221" s="73"/>
      <c r="BD221" s="73"/>
      <c r="BE221" s="73"/>
      <c r="BF221" s="73"/>
      <c r="BG221" s="73"/>
    </row>
    <row r="222" spans="1:59" x14ac:dyDescent="0.3">
      <c r="A222" s="141"/>
      <c r="B222" s="314"/>
      <c r="C222" s="314"/>
      <c r="D222" s="314"/>
      <c r="E222" s="314"/>
      <c r="F222" s="314"/>
      <c r="G222" s="71"/>
      <c r="H222" s="71"/>
      <c r="I222" s="71"/>
      <c r="J222" s="71"/>
      <c r="K222" s="71"/>
      <c r="L222" s="71"/>
      <c r="M222" s="71"/>
      <c r="N222" s="71"/>
      <c r="O222" s="71"/>
      <c r="AR222" s="71"/>
      <c r="AS222" s="71"/>
      <c r="AT222" s="71"/>
      <c r="AU222" s="71"/>
      <c r="AV222" s="71"/>
      <c r="AW222" s="71"/>
      <c r="AX222" s="71"/>
      <c r="AY222" s="71"/>
      <c r="AZ222" s="71"/>
      <c r="BA222" s="72"/>
      <c r="BB222" s="72"/>
      <c r="BC222" s="73"/>
      <c r="BD222" s="73"/>
      <c r="BE222" s="73"/>
      <c r="BF222" s="73"/>
      <c r="BG222" s="73"/>
    </row>
    <row r="223" spans="1:59" x14ac:dyDescent="0.3">
      <c r="A223" s="141"/>
      <c r="B223" s="314"/>
      <c r="C223" s="314"/>
      <c r="D223" s="314"/>
      <c r="E223" s="314"/>
      <c r="F223" s="314"/>
      <c r="G223" s="71"/>
      <c r="H223" s="71"/>
      <c r="I223" s="71"/>
      <c r="J223" s="71"/>
      <c r="K223" s="71"/>
      <c r="L223" s="71"/>
      <c r="M223" s="71"/>
      <c r="N223" s="71"/>
      <c r="O223" s="71"/>
      <c r="AR223" s="71"/>
      <c r="AS223" s="71"/>
      <c r="AT223" s="71"/>
      <c r="AU223" s="71"/>
      <c r="AV223" s="71"/>
      <c r="AW223" s="71"/>
      <c r="AX223" s="71"/>
      <c r="AY223" s="71"/>
      <c r="AZ223" s="71"/>
      <c r="BA223" s="72"/>
      <c r="BB223" s="72"/>
      <c r="BC223" s="73"/>
      <c r="BD223" s="73"/>
      <c r="BE223" s="73"/>
      <c r="BF223" s="73"/>
      <c r="BG223" s="73"/>
    </row>
    <row r="224" spans="1:59" x14ac:dyDescent="0.3">
      <c r="A224" s="141"/>
      <c r="B224" s="314"/>
      <c r="C224" s="314"/>
      <c r="D224" s="314"/>
      <c r="E224" s="314"/>
      <c r="F224" s="314"/>
      <c r="G224" s="71"/>
      <c r="H224" s="71"/>
      <c r="I224" s="71"/>
      <c r="J224" s="71"/>
      <c r="K224" s="71"/>
      <c r="L224" s="71"/>
      <c r="M224" s="71"/>
      <c r="N224" s="71"/>
      <c r="O224" s="71"/>
      <c r="AR224" s="71"/>
      <c r="AS224" s="71"/>
      <c r="AT224" s="71"/>
      <c r="AU224" s="71"/>
      <c r="AV224" s="71"/>
      <c r="AW224" s="71"/>
      <c r="AX224" s="71"/>
      <c r="AY224" s="71"/>
      <c r="AZ224" s="71"/>
      <c r="BA224" s="72"/>
      <c r="BB224" s="72"/>
      <c r="BC224" s="73"/>
      <c r="BD224" s="73"/>
      <c r="BE224" s="73"/>
      <c r="BF224" s="73"/>
      <c r="BG224" s="73"/>
    </row>
    <row r="225" spans="1:59" x14ac:dyDescent="0.3">
      <c r="A225" s="141"/>
      <c r="B225" s="314"/>
      <c r="C225" s="314"/>
      <c r="D225" s="314"/>
      <c r="E225" s="314"/>
      <c r="F225" s="314"/>
      <c r="G225" s="71"/>
      <c r="H225" s="71"/>
      <c r="I225" s="71"/>
      <c r="J225" s="71"/>
      <c r="K225" s="71"/>
      <c r="L225" s="71"/>
      <c r="M225" s="71"/>
      <c r="N225" s="71"/>
      <c r="O225" s="71"/>
      <c r="AR225" s="71"/>
      <c r="AS225" s="71"/>
      <c r="AT225" s="71"/>
      <c r="AU225" s="71"/>
      <c r="AV225" s="71"/>
      <c r="AW225" s="71"/>
      <c r="AX225" s="71"/>
      <c r="AY225" s="71"/>
      <c r="AZ225" s="71"/>
      <c r="BA225" s="72"/>
      <c r="BB225" s="72"/>
      <c r="BC225" s="73"/>
      <c r="BD225" s="73"/>
      <c r="BE225" s="73"/>
      <c r="BF225" s="73"/>
      <c r="BG225" s="73"/>
    </row>
    <row r="226" spans="1:59" x14ac:dyDescent="0.3">
      <c r="A226" s="141"/>
      <c r="B226" s="314"/>
      <c r="C226" s="314"/>
      <c r="D226" s="314"/>
      <c r="E226" s="314"/>
      <c r="F226" s="314"/>
      <c r="G226" s="71"/>
      <c r="H226" s="71"/>
      <c r="I226" s="71"/>
      <c r="J226" s="71"/>
      <c r="K226" s="71"/>
      <c r="L226" s="71"/>
      <c r="M226" s="71"/>
      <c r="N226" s="71"/>
      <c r="O226" s="71"/>
      <c r="AR226" s="71"/>
      <c r="AS226" s="71"/>
      <c r="AT226" s="71"/>
      <c r="AU226" s="71"/>
      <c r="AV226" s="71"/>
      <c r="AW226" s="71"/>
      <c r="AX226" s="71"/>
      <c r="AY226" s="71"/>
      <c r="AZ226" s="71"/>
      <c r="BA226" s="72"/>
      <c r="BB226" s="72"/>
      <c r="BC226" s="73"/>
      <c r="BD226" s="73"/>
      <c r="BE226" s="73"/>
      <c r="BF226" s="73"/>
      <c r="BG226" s="73"/>
    </row>
    <row r="227" spans="1:59" x14ac:dyDescent="0.3">
      <c r="A227" s="141"/>
      <c r="B227" s="314"/>
      <c r="C227" s="314"/>
      <c r="D227" s="314"/>
      <c r="E227" s="314"/>
      <c r="F227" s="314"/>
      <c r="G227" s="71"/>
      <c r="H227" s="71"/>
      <c r="I227" s="71"/>
      <c r="J227" s="71"/>
      <c r="K227" s="71"/>
      <c r="L227" s="71"/>
      <c r="M227" s="71"/>
      <c r="N227" s="71"/>
      <c r="O227" s="71"/>
      <c r="AR227" s="71"/>
      <c r="AS227" s="71"/>
      <c r="AT227" s="71"/>
      <c r="AU227" s="71"/>
      <c r="AV227" s="71"/>
      <c r="AW227" s="71"/>
      <c r="AX227" s="71"/>
      <c r="AY227" s="71"/>
      <c r="AZ227" s="71"/>
      <c r="BA227" s="72"/>
      <c r="BB227" s="72"/>
      <c r="BC227" s="73"/>
      <c r="BD227" s="73"/>
      <c r="BE227" s="73"/>
      <c r="BF227" s="73"/>
      <c r="BG227" s="73"/>
    </row>
    <row r="228" spans="1:59" x14ac:dyDescent="0.3">
      <c r="A228" s="141"/>
      <c r="B228" s="314"/>
      <c r="C228" s="314"/>
      <c r="D228" s="314"/>
      <c r="E228" s="314"/>
      <c r="F228" s="314"/>
      <c r="G228" s="71"/>
      <c r="H228" s="71"/>
      <c r="I228" s="71"/>
      <c r="J228" s="71"/>
      <c r="K228" s="71"/>
      <c r="L228" s="71"/>
      <c r="M228" s="71"/>
      <c r="N228" s="71"/>
      <c r="O228" s="71"/>
      <c r="AR228" s="71"/>
      <c r="AS228" s="71"/>
      <c r="AT228" s="71"/>
      <c r="AU228" s="71"/>
      <c r="AV228" s="71"/>
      <c r="AW228" s="71"/>
      <c r="AX228" s="71"/>
      <c r="AY228" s="71"/>
      <c r="AZ228" s="71"/>
      <c r="BA228" s="72"/>
      <c r="BB228" s="72"/>
      <c r="BC228" s="73"/>
      <c r="BD228" s="73"/>
      <c r="BE228" s="73"/>
      <c r="BF228" s="73"/>
      <c r="BG228" s="73"/>
    </row>
    <row r="229" spans="1:59" x14ac:dyDescent="0.3">
      <c r="A229" s="141"/>
      <c r="B229" s="314"/>
      <c r="C229" s="314"/>
      <c r="D229" s="314"/>
      <c r="E229" s="314"/>
      <c r="F229" s="314"/>
      <c r="G229" s="71"/>
      <c r="H229" s="71"/>
      <c r="I229" s="71"/>
      <c r="J229" s="71"/>
      <c r="K229" s="71"/>
      <c r="L229" s="71"/>
      <c r="M229" s="71"/>
      <c r="N229" s="71"/>
      <c r="O229" s="71"/>
      <c r="AR229" s="71"/>
      <c r="AS229" s="71"/>
      <c r="AT229" s="71"/>
      <c r="AU229" s="71"/>
      <c r="AV229" s="71"/>
      <c r="AW229" s="71"/>
      <c r="AX229" s="71"/>
      <c r="AY229" s="71"/>
      <c r="AZ229" s="71"/>
      <c r="BA229" s="72"/>
      <c r="BB229" s="72"/>
      <c r="BC229" s="73"/>
      <c r="BD229" s="73"/>
      <c r="BE229" s="73"/>
      <c r="BF229" s="73"/>
      <c r="BG229" s="73"/>
    </row>
    <row r="230" spans="1:59" x14ac:dyDescent="0.3">
      <c r="A230" s="141"/>
      <c r="B230" s="314"/>
      <c r="C230" s="314"/>
      <c r="D230" s="314"/>
      <c r="E230" s="314"/>
      <c r="F230" s="314"/>
      <c r="G230" s="71"/>
      <c r="H230" s="71"/>
      <c r="I230" s="71"/>
      <c r="J230" s="71"/>
      <c r="K230" s="71"/>
      <c r="L230" s="71"/>
      <c r="M230" s="71"/>
      <c r="N230" s="71"/>
      <c r="O230" s="71"/>
      <c r="AR230" s="71"/>
      <c r="AS230" s="71"/>
      <c r="AT230" s="71"/>
      <c r="AU230" s="71"/>
      <c r="AV230" s="71"/>
      <c r="AW230" s="71"/>
      <c r="AX230" s="71"/>
      <c r="AY230" s="71"/>
      <c r="AZ230" s="71"/>
      <c r="BA230" s="72"/>
      <c r="BB230" s="72"/>
      <c r="BC230" s="73"/>
      <c r="BD230" s="73"/>
      <c r="BE230" s="73"/>
      <c r="BF230" s="73"/>
      <c r="BG230" s="73"/>
    </row>
    <row r="231" spans="1:59" x14ac:dyDescent="0.3">
      <c r="A231" s="141"/>
      <c r="B231" s="314"/>
      <c r="C231" s="314"/>
      <c r="D231" s="314"/>
      <c r="E231" s="314"/>
      <c r="F231" s="314"/>
      <c r="G231" s="71"/>
      <c r="H231" s="71"/>
      <c r="I231" s="71"/>
      <c r="J231" s="71"/>
      <c r="K231" s="71"/>
      <c r="L231" s="71"/>
      <c r="M231" s="71"/>
      <c r="N231" s="71"/>
      <c r="O231" s="71"/>
      <c r="AR231" s="71"/>
      <c r="AS231" s="71"/>
      <c r="AT231" s="71"/>
      <c r="AU231" s="71"/>
      <c r="AV231" s="71"/>
      <c r="AW231" s="71"/>
      <c r="AX231" s="71"/>
      <c r="AY231" s="71"/>
      <c r="AZ231" s="71"/>
      <c r="BA231" s="72"/>
      <c r="BB231" s="72"/>
      <c r="BC231" s="73"/>
      <c r="BD231" s="73"/>
      <c r="BE231" s="73"/>
      <c r="BF231" s="73"/>
      <c r="BG231" s="73"/>
    </row>
    <row r="232" spans="1:59" x14ac:dyDescent="0.3">
      <c r="A232" s="141"/>
      <c r="B232" s="314"/>
      <c r="C232" s="314"/>
      <c r="D232" s="314"/>
      <c r="E232" s="314"/>
      <c r="F232" s="314"/>
      <c r="G232" s="71"/>
      <c r="H232" s="71"/>
      <c r="I232" s="71"/>
      <c r="J232" s="71"/>
      <c r="K232" s="71"/>
      <c r="L232" s="71"/>
      <c r="M232" s="71"/>
      <c r="N232" s="71"/>
      <c r="O232" s="71"/>
      <c r="AR232" s="71"/>
      <c r="AS232" s="71"/>
      <c r="AT232" s="71"/>
      <c r="AU232" s="71"/>
      <c r="AV232" s="71"/>
      <c r="AW232" s="71"/>
      <c r="AX232" s="71"/>
      <c r="AY232" s="71"/>
      <c r="AZ232" s="71"/>
      <c r="BA232" s="72"/>
      <c r="BB232" s="72"/>
      <c r="BC232" s="73"/>
      <c r="BD232" s="73"/>
      <c r="BE232" s="73"/>
      <c r="BF232" s="73"/>
      <c r="BG232" s="73"/>
    </row>
    <row r="233" spans="1:59" x14ac:dyDescent="0.3">
      <c r="A233" s="141"/>
      <c r="B233" s="314"/>
      <c r="C233" s="314"/>
      <c r="D233" s="314"/>
      <c r="E233" s="314"/>
      <c r="F233" s="314"/>
      <c r="G233" s="71"/>
      <c r="H233" s="71"/>
      <c r="I233" s="71"/>
      <c r="J233" s="71"/>
      <c r="K233" s="71"/>
      <c r="L233" s="71"/>
      <c r="M233" s="71"/>
      <c r="N233" s="71"/>
      <c r="O233" s="71"/>
      <c r="AR233" s="71"/>
      <c r="AS233" s="71"/>
      <c r="AT233" s="71"/>
      <c r="AU233" s="71"/>
      <c r="AV233" s="71"/>
      <c r="AW233" s="71"/>
      <c r="AX233" s="71"/>
      <c r="AY233" s="71"/>
      <c r="AZ233" s="71"/>
      <c r="BA233" s="72"/>
      <c r="BB233" s="72"/>
      <c r="BC233" s="73"/>
      <c r="BD233" s="73"/>
      <c r="BE233" s="73"/>
      <c r="BF233" s="73"/>
      <c r="BG233" s="73"/>
    </row>
    <row r="234" spans="1:59" x14ac:dyDescent="0.3">
      <c r="A234" s="141"/>
      <c r="B234" s="314"/>
      <c r="C234" s="314"/>
      <c r="D234" s="314"/>
      <c r="E234" s="314"/>
      <c r="F234" s="314"/>
      <c r="G234" s="71"/>
      <c r="H234" s="71"/>
      <c r="I234" s="71"/>
      <c r="J234" s="71"/>
      <c r="K234" s="71"/>
      <c r="L234" s="71"/>
      <c r="M234" s="71"/>
      <c r="N234" s="71"/>
      <c r="O234" s="71"/>
      <c r="AR234" s="71"/>
      <c r="AS234" s="71"/>
      <c r="AT234" s="71"/>
      <c r="AU234" s="71"/>
      <c r="AV234" s="71"/>
      <c r="AW234" s="71"/>
      <c r="AX234" s="71"/>
      <c r="AY234" s="71"/>
      <c r="AZ234" s="71"/>
      <c r="BA234" s="72"/>
      <c r="BB234" s="72"/>
      <c r="BC234" s="73"/>
      <c r="BD234" s="73"/>
      <c r="BE234" s="73"/>
      <c r="BF234" s="73"/>
      <c r="BG234" s="73"/>
    </row>
    <row r="235" spans="1:59" x14ac:dyDescent="0.3">
      <c r="A235" s="141"/>
      <c r="B235" s="314"/>
      <c r="C235" s="314"/>
      <c r="D235" s="314"/>
      <c r="E235" s="314"/>
      <c r="F235" s="314"/>
      <c r="G235" s="71"/>
      <c r="H235" s="71"/>
      <c r="I235" s="71"/>
      <c r="J235" s="71"/>
      <c r="K235" s="71"/>
      <c r="L235" s="71"/>
      <c r="M235" s="71"/>
      <c r="N235" s="71"/>
      <c r="O235" s="71"/>
      <c r="AR235" s="71"/>
      <c r="AS235" s="71"/>
      <c r="AT235" s="71"/>
      <c r="AU235" s="71"/>
      <c r="AV235" s="71"/>
      <c r="AW235" s="71"/>
      <c r="AX235" s="71"/>
      <c r="AY235" s="71"/>
      <c r="AZ235" s="71"/>
      <c r="BA235" s="72"/>
      <c r="BB235" s="72"/>
      <c r="BC235" s="73"/>
      <c r="BD235" s="73"/>
      <c r="BE235" s="73"/>
      <c r="BF235" s="73"/>
      <c r="BG235" s="73"/>
    </row>
    <row r="236" spans="1:59" x14ac:dyDescent="0.3">
      <c r="A236" s="141"/>
      <c r="B236" s="314"/>
      <c r="C236" s="314"/>
      <c r="D236" s="314"/>
      <c r="E236" s="314"/>
      <c r="F236" s="314"/>
      <c r="G236" s="71"/>
      <c r="H236" s="71"/>
      <c r="I236" s="71"/>
      <c r="J236" s="71"/>
      <c r="K236" s="71"/>
      <c r="L236" s="71"/>
      <c r="M236" s="71"/>
      <c r="N236" s="71"/>
      <c r="O236" s="71"/>
      <c r="AR236" s="71"/>
      <c r="AS236" s="71"/>
      <c r="AT236" s="71"/>
      <c r="AU236" s="71"/>
      <c r="AV236" s="71"/>
      <c r="AW236" s="71"/>
      <c r="AX236" s="71"/>
      <c r="AY236" s="71"/>
      <c r="AZ236" s="71"/>
      <c r="BA236" s="72"/>
      <c r="BB236" s="72"/>
      <c r="BC236" s="73"/>
      <c r="BD236" s="73"/>
      <c r="BE236" s="73"/>
      <c r="BF236" s="73"/>
      <c r="BG236" s="73"/>
    </row>
    <row r="237" spans="1:59" x14ac:dyDescent="0.3">
      <c r="A237" s="141"/>
      <c r="B237" s="314"/>
      <c r="C237" s="314"/>
      <c r="D237" s="314"/>
      <c r="E237" s="314"/>
      <c r="F237" s="314"/>
      <c r="G237" s="71"/>
      <c r="H237" s="71"/>
      <c r="I237" s="71"/>
      <c r="J237" s="71"/>
      <c r="K237" s="71"/>
      <c r="L237" s="71"/>
      <c r="M237" s="71"/>
      <c r="N237" s="71"/>
      <c r="O237" s="71"/>
      <c r="AR237" s="71"/>
      <c r="AS237" s="71"/>
      <c r="AT237" s="71"/>
      <c r="AU237" s="71"/>
      <c r="AV237" s="71"/>
      <c r="AW237" s="71"/>
      <c r="AX237" s="71"/>
      <c r="AY237" s="71"/>
      <c r="AZ237" s="71"/>
      <c r="BA237" s="72"/>
      <c r="BB237" s="72"/>
      <c r="BC237" s="73"/>
      <c r="BD237" s="73"/>
      <c r="BE237" s="73"/>
      <c r="BF237" s="73"/>
      <c r="BG237" s="73"/>
    </row>
    <row r="238" spans="1:59" x14ac:dyDescent="0.3">
      <c r="A238" s="141"/>
      <c r="B238" s="314"/>
      <c r="C238" s="314"/>
      <c r="D238" s="314"/>
      <c r="E238" s="314"/>
      <c r="F238" s="314"/>
      <c r="G238" s="71"/>
      <c r="H238" s="71"/>
      <c r="I238" s="71"/>
      <c r="J238" s="71"/>
      <c r="K238" s="71"/>
      <c r="L238" s="71"/>
      <c r="M238" s="71"/>
      <c r="N238" s="71"/>
      <c r="O238" s="71"/>
      <c r="AR238" s="71"/>
      <c r="AS238" s="71"/>
      <c r="AT238" s="71"/>
      <c r="AU238" s="71"/>
      <c r="AV238" s="71"/>
      <c r="AW238" s="71"/>
      <c r="AX238" s="71"/>
      <c r="AY238" s="71"/>
      <c r="AZ238" s="71"/>
      <c r="BA238" s="72"/>
      <c r="BB238" s="72"/>
      <c r="BC238" s="73"/>
      <c r="BD238" s="73"/>
      <c r="BE238" s="73"/>
      <c r="BF238" s="73"/>
      <c r="BG238" s="73"/>
    </row>
    <row r="239" spans="1:59" x14ac:dyDescent="0.3">
      <c r="A239" s="141"/>
      <c r="B239" s="314"/>
      <c r="C239" s="314"/>
      <c r="D239" s="314"/>
      <c r="E239" s="314"/>
      <c r="F239" s="314"/>
      <c r="G239" s="71"/>
      <c r="H239" s="71"/>
      <c r="I239" s="71"/>
      <c r="J239" s="71"/>
      <c r="K239" s="71"/>
      <c r="L239" s="71"/>
      <c r="M239" s="71"/>
      <c r="N239" s="71"/>
      <c r="O239" s="71"/>
      <c r="AR239" s="71"/>
      <c r="AS239" s="71"/>
      <c r="AT239" s="71"/>
      <c r="AU239" s="71"/>
      <c r="AV239" s="71"/>
      <c r="AW239" s="71"/>
      <c r="AX239" s="71"/>
      <c r="AY239" s="71"/>
      <c r="AZ239" s="71"/>
      <c r="BA239" s="72"/>
      <c r="BB239" s="72"/>
      <c r="BC239" s="73"/>
      <c r="BD239" s="73"/>
      <c r="BE239" s="73"/>
      <c r="BF239" s="73"/>
      <c r="BG239" s="73"/>
    </row>
    <row r="240" spans="1:59" x14ac:dyDescent="0.3">
      <c r="A240" s="141"/>
      <c r="B240" s="314"/>
      <c r="C240" s="314"/>
      <c r="D240" s="314"/>
      <c r="E240" s="314"/>
      <c r="F240" s="314"/>
      <c r="G240" s="71"/>
      <c r="H240" s="71"/>
      <c r="I240" s="71"/>
      <c r="J240" s="71"/>
      <c r="K240" s="71"/>
      <c r="L240" s="71"/>
      <c r="M240" s="71"/>
      <c r="N240" s="71"/>
      <c r="O240" s="71"/>
      <c r="AR240" s="71"/>
      <c r="AS240" s="71"/>
      <c r="AT240" s="71"/>
      <c r="AU240" s="71"/>
      <c r="AV240" s="71"/>
      <c r="AW240" s="71"/>
      <c r="AX240" s="71"/>
      <c r="AY240" s="71"/>
      <c r="AZ240" s="71"/>
      <c r="BA240" s="72"/>
      <c r="BB240" s="72"/>
      <c r="BC240" s="73"/>
      <c r="BD240" s="73"/>
      <c r="BE240" s="73"/>
      <c r="BF240" s="73"/>
      <c r="BG240" s="73"/>
    </row>
    <row r="241" spans="1:59" x14ac:dyDescent="0.3">
      <c r="A241" s="141"/>
      <c r="B241" s="314"/>
      <c r="C241" s="314"/>
      <c r="D241" s="314"/>
      <c r="E241" s="314"/>
      <c r="F241" s="314"/>
      <c r="G241" s="71"/>
      <c r="H241" s="71"/>
      <c r="I241" s="71"/>
      <c r="J241" s="71"/>
      <c r="K241" s="71"/>
      <c r="L241" s="71"/>
      <c r="M241" s="71"/>
      <c r="N241" s="71"/>
      <c r="O241" s="71"/>
      <c r="AR241" s="71"/>
      <c r="AS241" s="71"/>
      <c r="AT241" s="71"/>
      <c r="AU241" s="71"/>
      <c r="AV241" s="71"/>
      <c r="AW241" s="71"/>
      <c r="AX241" s="71"/>
      <c r="AY241" s="71"/>
      <c r="AZ241" s="71"/>
      <c r="BA241" s="72"/>
      <c r="BB241" s="72"/>
      <c r="BC241" s="73"/>
      <c r="BD241" s="73"/>
      <c r="BE241" s="73"/>
      <c r="BF241" s="73"/>
      <c r="BG241" s="73"/>
    </row>
    <row r="242" spans="1:59" x14ac:dyDescent="0.3">
      <c r="A242" s="141"/>
      <c r="B242" s="314"/>
      <c r="C242" s="314"/>
      <c r="D242" s="314"/>
      <c r="E242" s="314"/>
      <c r="F242" s="314"/>
      <c r="G242" s="71"/>
      <c r="H242" s="71"/>
      <c r="I242" s="71"/>
      <c r="J242" s="71"/>
      <c r="K242" s="71"/>
      <c r="L242" s="71"/>
      <c r="M242" s="71"/>
      <c r="N242" s="71"/>
      <c r="O242" s="71"/>
      <c r="AR242" s="71"/>
      <c r="AS242" s="71"/>
      <c r="AT242" s="71"/>
      <c r="AU242" s="71"/>
      <c r="AV242" s="71"/>
      <c r="AW242" s="71"/>
      <c r="AX242" s="71"/>
      <c r="AY242" s="71"/>
      <c r="AZ242" s="71"/>
      <c r="BA242" s="72"/>
      <c r="BB242" s="72"/>
      <c r="BC242" s="73"/>
      <c r="BD242" s="73"/>
      <c r="BE242" s="73"/>
      <c r="BF242" s="73"/>
      <c r="BG242" s="73"/>
    </row>
    <row r="243" spans="1:59" x14ac:dyDescent="0.3">
      <c r="A243" s="141"/>
      <c r="B243" s="314"/>
      <c r="C243" s="314"/>
      <c r="D243" s="314"/>
      <c r="E243" s="314"/>
      <c r="F243" s="314"/>
      <c r="G243" s="71"/>
      <c r="H243" s="71"/>
      <c r="I243" s="71"/>
      <c r="J243" s="71"/>
      <c r="K243" s="71"/>
      <c r="L243" s="71"/>
      <c r="M243" s="71"/>
      <c r="N243" s="71"/>
      <c r="O243" s="71"/>
      <c r="AR243" s="71"/>
      <c r="AS243" s="71"/>
      <c r="AT243" s="71"/>
      <c r="AU243" s="71"/>
      <c r="AV243" s="71"/>
      <c r="AW243" s="71"/>
      <c r="AX243" s="71"/>
      <c r="AY243" s="71"/>
      <c r="AZ243" s="71"/>
      <c r="BA243" s="72"/>
      <c r="BB243" s="72"/>
      <c r="BC243" s="73"/>
      <c r="BD243" s="73"/>
      <c r="BE243" s="73"/>
      <c r="BF243" s="73"/>
      <c r="BG243" s="73"/>
    </row>
    <row r="244" spans="1:59" x14ac:dyDescent="0.3">
      <c r="A244" s="141"/>
      <c r="B244" s="314"/>
      <c r="C244" s="314"/>
      <c r="D244" s="314"/>
      <c r="E244" s="314"/>
      <c r="F244" s="314"/>
      <c r="G244" s="71"/>
      <c r="H244" s="71"/>
      <c r="I244" s="71"/>
      <c r="J244" s="71"/>
      <c r="K244" s="71"/>
      <c r="L244" s="71"/>
      <c r="M244" s="71"/>
      <c r="N244" s="71"/>
      <c r="O244" s="71"/>
      <c r="AR244" s="71"/>
      <c r="AS244" s="71"/>
      <c r="AT244" s="71"/>
      <c r="AU244" s="71"/>
      <c r="AV244" s="71"/>
      <c r="AW244" s="71"/>
      <c r="AX244" s="71"/>
      <c r="AY244" s="71"/>
      <c r="AZ244" s="71"/>
      <c r="BA244" s="72"/>
      <c r="BB244" s="72"/>
      <c r="BC244" s="73"/>
      <c r="BD244" s="73"/>
      <c r="BE244" s="73"/>
      <c r="BF244" s="73"/>
      <c r="BG244" s="73"/>
    </row>
    <row r="245" spans="1:59" x14ac:dyDescent="0.3">
      <c r="A245" s="141"/>
      <c r="B245" s="314"/>
      <c r="C245" s="314"/>
      <c r="D245" s="314"/>
      <c r="E245" s="314"/>
      <c r="F245" s="314"/>
      <c r="G245" s="71"/>
      <c r="H245" s="71"/>
      <c r="I245" s="71"/>
      <c r="J245" s="71"/>
      <c r="K245" s="71"/>
      <c r="L245" s="71"/>
      <c r="M245" s="71"/>
      <c r="N245" s="71"/>
      <c r="O245" s="71"/>
      <c r="AR245" s="71"/>
      <c r="AS245" s="71"/>
      <c r="AT245" s="71"/>
      <c r="AU245" s="71"/>
      <c r="AV245" s="71"/>
      <c r="AW245" s="71"/>
      <c r="AX245" s="71"/>
      <c r="AY245" s="71"/>
      <c r="AZ245" s="71"/>
      <c r="BA245" s="72"/>
      <c r="BB245" s="72"/>
      <c r="BC245" s="73"/>
      <c r="BD245" s="73"/>
      <c r="BE245" s="73"/>
      <c r="BF245" s="73"/>
      <c r="BG245" s="73"/>
    </row>
    <row r="246" spans="1:59" x14ac:dyDescent="0.3">
      <c r="A246" s="141"/>
      <c r="B246" s="314"/>
      <c r="C246" s="314"/>
      <c r="D246" s="314"/>
      <c r="E246" s="314"/>
      <c r="F246" s="314"/>
      <c r="G246" s="71"/>
      <c r="H246" s="71"/>
      <c r="I246" s="71"/>
      <c r="J246" s="71"/>
      <c r="K246" s="71"/>
      <c r="L246" s="71"/>
      <c r="M246" s="71"/>
      <c r="N246" s="71"/>
      <c r="O246" s="71"/>
      <c r="AR246" s="71"/>
      <c r="AS246" s="71"/>
      <c r="AT246" s="71"/>
      <c r="AU246" s="71"/>
      <c r="AV246" s="71"/>
      <c r="AW246" s="71"/>
      <c r="AX246" s="71"/>
      <c r="AY246" s="71"/>
      <c r="AZ246" s="71"/>
      <c r="BA246" s="72"/>
      <c r="BB246" s="72"/>
      <c r="BC246" s="73"/>
      <c r="BD246" s="73"/>
      <c r="BE246" s="73"/>
      <c r="BF246" s="73"/>
      <c r="BG246" s="73"/>
    </row>
    <row r="247" spans="1:59" x14ac:dyDescent="0.3">
      <c r="A247" s="141"/>
      <c r="B247" s="314"/>
      <c r="C247" s="314"/>
      <c r="D247" s="314"/>
      <c r="E247" s="314"/>
      <c r="F247" s="314"/>
      <c r="G247" s="71"/>
      <c r="H247" s="71"/>
      <c r="I247" s="71"/>
      <c r="J247" s="71"/>
      <c r="K247" s="71"/>
      <c r="L247" s="71"/>
      <c r="M247" s="71"/>
      <c r="N247" s="71"/>
      <c r="O247" s="71"/>
      <c r="AR247" s="71"/>
      <c r="AS247" s="71"/>
      <c r="AT247" s="71"/>
      <c r="AU247" s="71"/>
      <c r="AV247" s="71"/>
      <c r="AW247" s="71"/>
      <c r="AX247" s="71"/>
      <c r="AY247" s="71"/>
      <c r="AZ247" s="71"/>
      <c r="BA247" s="72"/>
      <c r="BB247" s="72"/>
      <c r="BC247" s="73"/>
      <c r="BD247" s="73"/>
      <c r="BE247" s="73"/>
      <c r="BF247" s="73"/>
      <c r="BG247" s="73"/>
    </row>
    <row r="248" spans="1:59" x14ac:dyDescent="0.3">
      <c r="A248" s="141"/>
      <c r="B248" s="314"/>
      <c r="C248" s="314"/>
      <c r="D248" s="314"/>
      <c r="E248" s="314"/>
      <c r="F248" s="314"/>
      <c r="G248" s="71"/>
      <c r="H248" s="71"/>
      <c r="I248" s="71"/>
      <c r="J248" s="71"/>
      <c r="K248" s="71"/>
      <c r="L248" s="71"/>
      <c r="M248" s="71"/>
      <c r="N248" s="71"/>
      <c r="O248" s="71"/>
      <c r="AR248" s="71"/>
      <c r="AS248" s="71"/>
      <c r="AT248" s="71"/>
      <c r="AU248" s="71"/>
      <c r="AV248" s="71"/>
      <c r="AW248" s="71"/>
      <c r="AX248" s="71"/>
      <c r="AY248" s="71"/>
      <c r="AZ248" s="71"/>
      <c r="BA248" s="72"/>
      <c r="BB248" s="72"/>
      <c r="BC248" s="73"/>
      <c r="BD248" s="73"/>
      <c r="BE248" s="73"/>
      <c r="BF248" s="73"/>
      <c r="BG248" s="73"/>
    </row>
    <row r="249" spans="1:59" x14ac:dyDescent="0.3">
      <c r="A249" s="141"/>
      <c r="B249" s="314"/>
      <c r="C249" s="314"/>
      <c r="D249" s="314"/>
      <c r="E249" s="314"/>
      <c r="F249" s="314"/>
      <c r="G249" s="71"/>
      <c r="H249" s="71"/>
      <c r="I249" s="71"/>
      <c r="J249" s="71"/>
      <c r="K249" s="71"/>
      <c r="L249" s="71"/>
      <c r="M249" s="71"/>
      <c r="N249" s="71"/>
      <c r="O249" s="71"/>
      <c r="AR249" s="71"/>
      <c r="AS249" s="71"/>
      <c r="AT249" s="71"/>
      <c r="AU249" s="71"/>
      <c r="AV249" s="71"/>
      <c r="AW249" s="71"/>
      <c r="AX249" s="71"/>
      <c r="AY249" s="71"/>
      <c r="AZ249" s="71"/>
      <c r="BA249" s="72"/>
      <c r="BB249" s="72"/>
      <c r="BC249" s="73"/>
      <c r="BD249" s="73"/>
      <c r="BE249" s="73"/>
      <c r="BF249" s="73"/>
      <c r="BG249" s="73"/>
    </row>
    <row r="250" spans="1:59" x14ac:dyDescent="0.3">
      <c r="A250" s="141"/>
      <c r="B250" s="314"/>
      <c r="C250" s="314"/>
      <c r="D250" s="314"/>
      <c r="E250" s="314"/>
      <c r="F250" s="314"/>
      <c r="G250" s="71"/>
      <c r="H250" s="71"/>
      <c r="I250" s="71"/>
      <c r="J250" s="71"/>
      <c r="K250" s="71"/>
      <c r="L250" s="71"/>
      <c r="M250" s="71"/>
      <c r="N250" s="71"/>
      <c r="O250" s="71"/>
      <c r="AR250" s="71"/>
      <c r="AS250" s="71"/>
      <c r="AT250" s="71"/>
      <c r="AU250" s="71"/>
      <c r="AV250" s="71"/>
      <c r="AW250" s="71"/>
      <c r="AX250" s="71"/>
      <c r="AY250" s="71"/>
      <c r="AZ250" s="71"/>
      <c r="BA250" s="72"/>
      <c r="BB250" s="72"/>
      <c r="BC250" s="73"/>
      <c r="BD250" s="73"/>
      <c r="BE250" s="73"/>
      <c r="BF250" s="73"/>
      <c r="BG250" s="73"/>
    </row>
    <row r="251" spans="1:59" x14ac:dyDescent="0.3">
      <c r="A251" s="141"/>
      <c r="B251" s="314"/>
      <c r="C251" s="314"/>
      <c r="D251" s="314"/>
      <c r="E251" s="314"/>
      <c r="F251" s="314"/>
      <c r="G251" s="71"/>
      <c r="H251" s="71"/>
      <c r="I251" s="71"/>
      <c r="J251" s="71"/>
      <c r="K251" s="71"/>
      <c r="L251" s="71"/>
      <c r="M251" s="71"/>
      <c r="N251" s="71"/>
      <c r="O251" s="71"/>
      <c r="AR251" s="71"/>
      <c r="AS251" s="71"/>
      <c r="AT251" s="71"/>
      <c r="AU251" s="71"/>
      <c r="AV251" s="71"/>
      <c r="AW251" s="71"/>
      <c r="AX251" s="71"/>
      <c r="AY251" s="71"/>
      <c r="AZ251" s="71"/>
      <c r="BA251" s="72"/>
      <c r="BB251" s="72"/>
      <c r="BC251" s="73"/>
      <c r="BD251" s="73"/>
      <c r="BE251" s="73"/>
      <c r="BF251" s="73"/>
      <c r="BG251" s="73"/>
    </row>
    <row r="252" spans="1:59" x14ac:dyDescent="0.3">
      <c r="A252" s="141"/>
      <c r="B252" s="314"/>
      <c r="C252" s="314"/>
      <c r="D252" s="314"/>
      <c r="E252" s="314"/>
      <c r="F252" s="314"/>
      <c r="G252" s="71"/>
      <c r="H252" s="71"/>
      <c r="I252" s="71"/>
      <c r="J252" s="71"/>
      <c r="K252" s="71"/>
      <c r="L252" s="71"/>
      <c r="M252" s="71"/>
      <c r="N252" s="71"/>
      <c r="O252" s="71"/>
      <c r="AR252" s="71"/>
      <c r="AS252" s="71"/>
      <c r="AT252" s="71"/>
      <c r="AU252" s="71"/>
      <c r="AV252" s="71"/>
      <c r="AW252" s="71"/>
      <c r="AX252" s="71"/>
      <c r="AY252" s="71"/>
      <c r="AZ252" s="71"/>
      <c r="BA252" s="72"/>
      <c r="BB252" s="72"/>
      <c r="BC252" s="73"/>
      <c r="BD252" s="73"/>
      <c r="BE252" s="73"/>
      <c r="BF252" s="73"/>
      <c r="BG252" s="73"/>
    </row>
    <row r="253" spans="1:59" x14ac:dyDescent="0.3">
      <c r="A253" s="141"/>
      <c r="B253" s="314"/>
      <c r="C253" s="314"/>
      <c r="D253" s="314"/>
      <c r="E253" s="314"/>
      <c r="F253" s="314"/>
      <c r="G253" s="71"/>
      <c r="H253" s="71"/>
      <c r="I253" s="71"/>
      <c r="J253" s="71"/>
      <c r="K253" s="71"/>
      <c r="L253" s="71"/>
      <c r="M253" s="71"/>
      <c r="N253" s="71"/>
      <c r="O253" s="71"/>
      <c r="AR253" s="71"/>
      <c r="AS253" s="71"/>
      <c r="AT253" s="71"/>
      <c r="AU253" s="71"/>
      <c r="AV253" s="71"/>
      <c r="AW253" s="71"/>
      <c r="AX253" s="71"/>
      <c r="AY253" s="71"/>
      <c r="AZ253" s="71"/>
      <c r="BA253" s="72"/>
      <c r="BB253" s="72"/>
      <c r="BC253" s="73"/>
      <c r="BD253" s="73"/>
      <c r="BE253" s="73"/>
      <c r="BF253" s="73"/>
      <c r="BG253" s="73"/>
    </row>
    <row r="254" spans="1:59" x14ac:dyDescent="0.3">
      <c r="A254" s="141"/>
      <c r="B254" s="314"/>
      <c r="C254" s="314"/>
      <c r="D254" s="314"/>
      <c r="E254" s="314"/>
      <c r="F254" s="314"/>
      <c r="G254" s="71"/>
      <c r="H254" s="71"/>
      <c r="I254" s="71"/>
      <c r="J254" s="71"/>
      <c r="K254" s="71"/>
      <c r="L254" s="71"/>
      <c r="M254" s="71"/>
      <c r="N254" s="71"/>
      <c r="O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2"/>
      <c r="BB254" s="72"/>
      <c r="BC254" s="73"/>
      <c r="BD254" s="73"/>
      <c r="BE254" s="73"/>
      <c r="BF254" s="73"/>
      <c r="BG254" s="73"/>
    </row>
    <row r="255" spans="1:59" x14ac:dyDescent="0.3">
      <c r="A255" s="141"/>
      <c r="B255" s="314"/>
      <c r="C255" s="314"/>
      <c r="D255" s="314"/>
      <c r="E255" s="314"/>
      <c r="F255" s="314"/>
      <c r="G255" s="71"/>
      <c r="H255" s="71"/>
      <c r="I255" s="71"/>
      <c r="J255" s="71"/>
      <c r="K255" s="71"/>
      <c r="L255" s="71"/>
      <c r="M255" s="71"/>
      <c r="N255" s="71"/>
      <c r="O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2"/>
      <c r="BB255" s="72"/>
      <c r="BC255" s="73"/>
      <c r="BD255" s="73"/>
      <c r="BE255" s="73"/>
      <c r="BF255" s="73"/>
      <c r="BG255" s="73"/>
    </row>
    <row r="256" spans="1:59" x14ac:dyDescent="0.3">
      <c r="A256" s="141"/>
      <c r="B256" s="314"/>
      <c r="C256" s="314"/>
      <c r="D256" s="314"/>
      <c r="E256" s="314"/>
      <c r="F256" s="314"/>
      <c r="G256" s="71"/>
      <c r="H256" s="71"/>
      <c r="I256" s="71"/>
      <c r="J256" s="71"/>
      <c r="K256" s="71"/>
      <c r="L256" s="71"/>
      <c r="M256" s="71"/>
      <c r="N256" s="71"/>
      <c r="O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2"/>
      <c r="BB256" s="72"/>
      <c r="BC256" s="73"/>
      <c r="BD256" s="73"/>
      <c r="BE256" s="73"/>
      <c r="BF256" s="73"/>
      <c r="BG256" s="73"/>
    </row>
    <row r="257" spans="1:59" x14ac:dyDescent="0.3">
      <c r="A257" s="141"/>
      <c r="B257" s="314"/>
      <c r="C257" s="314"/>
      <c r="D257" s="314"/>
      <c r="E257" s="314"/>
      <c r="F257" s="314"/>
      <c r="G257" s="71"/>
      <c r="H257" s="71"/>
      <c r="I257" s="71"/>
      <c r="J257" s="71"/>
      <c r="K257" s="71"/>
      <c r="L257" s="71"/>
      <c r="M257" s="71"/>
      <c r="N257" s="71"/>
      <c r="O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2"/>
      <c r="BB257" s="72"/>
      <c r="BC257" s="73"/>
      <c r="BD257" s="73"/>
      <c r="BE257" s="73"/>
      <c r="BF257" s="73"/>
      <c r="BG257" s="73"/>
    </row>
    <row r="258" spans="1:59" x14ac:dyDescent="0.3">
      <c r="A258" s="141"/>
      <c r="B258" s="314"/>
      <c r="C258" s="314"/>
      <c r="D258" s="314"/>
      <c r="E258" s="314"/>
      <c r="F258" s="314"/>
      <c r="G258" s="71"/>
      <c r="H258" s="71"/>
      <c r="I258" s="71"/>
      <c r="J258" s="71"/>
      <c r="K258" s="71"/>
      <c r="L258" s="71"/>
      <c r="M258" s="71"/>
      <c r="N258" s="71"/>
      <c r="O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2"/>
      <c r="BB258" s="72"/>
      <c r="BC258" s="73"/>
      <c r="BD258" s="73"/>
      <c r="BE258" s="73"/>
      <c r="BF258" s="73"/>
      <c r="BG258" s="73"/>
    </row>
    <row r="259" spans="1:59" x14ac:dyDescent="0.3">
      <c r="A259" s="141"/>
      <c r="B259" s="314"/>
      <c r="C259" s="314"/>
      <c r="D259" s="314"/>
      <c r="E259" s="314"/>
      <c r="F259" s="314"/>
      <c r="G259" s="71"/>
      <c r="H259" s="71"/>
      <c r="I259" s="71"/>
      <c r="J259" s="71"/>
      <c r="K259" s="71"/>
      <c r="L259" s="71"/>
      <c r="M259" s="71"/>
      <c r="N259" s="71"/>
      <c r="O259" s="71"/>
      <c r="AR259" s="71"/>
      <c r="AS259" s="71"/>
      <c r="AT259" s="71"/>
      <c r="AU259" s="71"/>
      <c r="AV259" s="71"/>
      <c r="AW259" s="71"/>
      <c r="AX259" s="71"/>
      <c r="AY259" s="71"/>
      <c r="AZ259" s="71"/>
      <c r="BA259" s="72"/>
      <c r="BB259" s="72"/>
      <c r="BC259" s="73"/>
      <c r="BD259" s="73"/>
      <c r="BE259" s="73"/>
      <c r="BF259" s="73"/>
      <c r="BG259" s="73"/>
    </row>
    <row r="260" spans="1:59" x14ac:dyDescent="0.3">
      <c r="A260" s="141"/>
      <c r="B260" s="314"/>
      <c r="C260" s="314"/>
      <c r="D260" s="314"/>
      <c r="E260" s="314"/>
      <c r="F260" s="314"/>
      <c r="G260" s="71"/>
      <c r="H260" s="71"/>
      <c r="I260" s="71"/>
      <c r="J260" s="71"/>
      <c r="K260" s="71"/>
      <c r="L260" s="71"/>
      <c r="M260" s="71"/>
      <c r="N260" s="71"/>
      <c r="O260" s="71"/>
      <c r="AR260" s="71"/>
      <c r="AS260" s="71"/>
      <c r="AT260" s="71"/>
      <c r="AU260" s="71"/>
      <c r="AV260" s="71"/>
      <c r="AW260" s="71"/>
      <c r="AX260" s="71"/>
      <c r="AY260" s="71"/>
      <c r="AZ260" s="71"/>
      <c r="BA260" s="72"/>
      <c r="BB260" s="72"/>
      <c r="BC260" s="73"/>
      <c r="BD260" s="73"/>
      <c r="BE260" s="73"/>
      <c r="BF260" s="73"/>
      <c r="BG260" s="73"/>
    </row>
    <row r="261" spans="1:59" x14ac:dyDescent="0.3">
      <c r="A261" s="141"/>
      <c r="B261" s="314"/>
      <c r="C261" s="314"/>
      <c r="D261" s="314"/>
      <c r="E261" s="314"/>
      <c r="F261" s="314"/>
      <c r="G261" s="71"/>
      <c r="H261" s="71"/>
      <c r="I261" s="71"/>
      <c r="J261" s="71"/>
      <c r="K261" s="71"/>
      <c r="L261" s="71"/>
      <c r="M261" s="71"/>
      <c r="N261" s="71"/>
      <c r="O261" s="71"/>
      <c r="AR261" s="71"/>
      <c r="AS261" s="71"/>
      <c r="AT261" s="71"/>
      <c r="AU261" s="71"/>
      <c r="AV261" s="71"/>
      <c r="AW261" s="71"/>
      <c r="AX261" s="71"/>
      <c r="AY261" s="71"/>
      <c r="AZ261" s="71"/>
      <c r="BA261" s="72"/>
      <c r="BB261" s="72"/>
      <c r="BC261" s="73"/>
      <c r="BD261" s="73"/>
      <c r="BE261" s="73"/>
      <c r="BF261" s="73"/>
      <c r="BG261" s="73"/>
    </row>
    <row r="262" spans="1:59" x14ac:dyDescent="0.3">
      <c r="A262" s="141"/>
      <c r="B262" s="314"/>
      <c r="C262" s="314"/>
      <c r="D262" s="314"/>
      <c r="E262" s="314"/>
      <c r="F262" s="314"/>
      <c r="G262" s="71"/>
      <c r="H262" s="71"/>
      <c r="I262" s="71"/>
      <c r="J262" s="71"/>
      <c r="K262" s="71"/>
      <c r="L262" s="71"/>
      <c r="M262" s="71"/>
      <c r="N262" s="71"/>
      <c r="O262" s="71"/>
      <c r="AR262" s="71"/>
      <c r="AS262" s="71"/>
      <c r="AT262" s="71"/>
      <c r="AU262" s="71"/>
      <c r="AV262" s="71"/>
      <c r="AW262" s="71"/>
      <c r="AX262" s="71"/>
      <c r="AY262" s="71"/>
      <c r="AZ262" s="71"/>
      <c r="BA262" s="72"/>
      <c r="BB262" s="72"/>
      <c r="BC262" s="73"/>
      <c r="BD262" s="73"/>
      <c r="BE262" s="73"/>
      <c r="BF262" s="73"/>
      <c r="BG262" s="73"/>
    </row>
    <row r="263" spans="1:59" x14ac:dyDescent="0.3">
      <c r="A263" s="141"/>
      <c r="B263" s="314"/>
      <c r="C263" s="314"/>
      <c r="D263" s="314"/>
      <c r="E263" s="314"/>
      <c r="F263" s="314"/>
      <c r="G263" s="71"/>
      <c r="H263" s="71"/>
      <c r="I263" s="71"/>
      <c r="J263" s="71"/>
      <c r="K263" s="71"/>
      <c r="L263" s="71"/>
      <c r="M263" s="71"/>
      <c r="N263" s="71"/>
      <c r="O263" s="71"/>
      <c r="AR263" s="71"/>
      <c r="AS263" s="71"/>
      <c r="AT263" s="71"/>
      <c r="AU263" s="71"/>
      <c r="AV263" s="71"/>
      <c r="AW263" s="71"/>
      <c r="AX263" s="71"/>
      <c r="AY263" s="71"/>
      <c r="AZ263" s="71"/>
      <c r="BA263" s="72"/>
      <c r="BB263" s="72"/>
      <c r="BC263" s="73"/>
      <c r="BD263" s="73"/>
      <c r="BE263" s="73"/>
      <c r="BF263" s="73"/>
      <c r="BG263" s="73"/>
    </row>
    <row r="264" spans="1:59" x14ac:dyDescent="0.3">
      <c r="A264" s="141"/>
      <c r="B264" s="314"/>
      <c r="C264" s="314"/>
      <c r="D264" s="314"/>
      <c r="E264" s="314"/>
      <c r="F264" s="314"/>
      <c r="G264" s="71"/>
      <c r="H264" s="71"/>
      <c r="I264" s="71"/>
      <c r="J264" s="71"/>
      <c r="K264" s="71"/>
      <c r="L264" s="71"/>
      <c r="M264" s="71"/>
      <c r="N264" s="71"/>
      <c r="O264" s="71"/>
      <c r="AR264" s="71"/>
      <c r="AS264" s="71"/>
      <c r="AT264" s="71"/>
      <c r="AU264" s="71"/>
      <c r="AV264" s="71"/>
      <c r="AW264" s="71"/>
      <c r="AX264" s="71"/>
      <c r="AY264" s="71"/>
      <c r="AZ264" s="71"/>
      <c r="BA264" s="72"/>
      <c r="BB264" s="72"/>
      <c r="BC264" s="73"/>
      <c r="BD264" s="73"/>
      <c r="BE264" s="73"/>
      <c r="BF264" s="73"/>
      <c r="BG264" s="73"/>
    </row>
    <row r="265" spans="1:59" x14ac:dyDescent="0.3">
      <c r="A265" s="141"/>
      <c r="B265" s="314"/>
      <c r="C265" s="314"/>
      <c r="D265" s="314"/>
      <c r="E265" s="314"/>
      <c r="F265" s="314"/>
      <c r="G265" s="71"/>
      <c r="H265" s="71"/>
      <c r="I265" s="71"/>
      <c r="J265" s="71"/>
      <c r="K265" s="71"/>
      <c r="L265" s="71"/>
      <c r="M265" s="71"/>
      <c r="N265" s="71"/>
      <c r="O265" s="71"/>
      <c r="AR265" s="71"/>
      <c r="AS265" s="71"/>
      <c r="AT265" s="71"/>
      <c r="AU265" s="71"/>
      <c r="AV265" s="71"/>
      <c r="AW265" s="71"/>
      <c r="AX265" s="71"/>
      <c r="AY265" s="71"/>
      <c r="AZ265" s="71"/>
      <c r="BA265" s="72"/>
      <c r="BB265" s="72"/>
      <c r="BC265" s="73"/>
      <c r="BD265" s="73"/>
      <c r="BE265" s="73"/>
      <c r="BF265" s="73"/>
      <c r="BG265" s="73"/>
    </row>
    <row r="266" spans="1:59" x14ac:dyDescent="0.3">
      <c r="A266" s="141"/>
      <c r="B266" s="314"/>
      <c r="C266" s="314"/>
      <c r="D266" s="314"/>
      <c r="E266" s="314"/>
      <c r="F266" s="314"/>
      <c r="G266" s="71"/>
      <c r="H266" s="71"/>
      <c r="I266" s="71"/>
      <c r="J266" s="71"/>
      <c r="K266" s="71"/>
      <c r="L266" s="71"/>
      <c r="M266" s="71"/>
      <c r="N266" s="71"/>
      <c r="O266" s="71"/>
      <c r="AR266" s="71"/>
      <c r="AS266" s="71"/>
      <c r="AT266" s="71"/>
      <c r="AU266" s="71"/>
      <c r="AV266" s="71"/>
      <c r="AW266" s="71"/>
      <c r="AX266" s="71"/>
      <c r="AY266" s="71"/>
      <c r="AZ266" s="71"/>
      <c r="BA266" s="72"/>
      <c r="BB266" s="72"/>
      <c r="BC266" s="73"/>
      <c r="BD266" s="73"/>
      <c r="BE266" s="73"/>
      <c r="BF266" s="73"/>
      <c r="BG266" s="73"/>
    </row>
    <row r="267" spans="1:59" x14ac:dyDescent="0.3">
      <c r="A267" s="141"/>
      <c r="B267" s="314"/>
      <c r="C267" s="314"/>
      <c r="D267" s="314"/>
      <c r="E267" s="314"/>
      <c r="F267" s="314"/>
      <c r="G267" s="71"/>
      <c r="H267" s="71"/>
      <c r="I267" s="71"/>
      <c r="J267" s="71"/>
      <c r="K267" s="71"/>
      <c r="L267" s="71"/>
      <c r="M267" s="71"/>
      <c r="N267" s="71"/>
      <c r="O267" s="71"/>
      <c r="AR267" s="71"/>
      <c r="AS267" s="71"/>
      <c r="AT267" s="71"/>
      <c r="AU267" s="71"/>
      <c r="AV267" s="71"/>
      <c r="AW267" s="71"/>
      <c r="AX267" s="71"/>
      <c r="AY267" s="71"/>
      <c r="AZ267" s="71"/>
      <c r="BA267" s="72"/>
      <c r="BB267" s="72"/>
      <c r="BC267" s="73"/>
      <c r="BD267" s="73"/>
      <c r="BE267" s="73"/>
      <c r="BF267" s="73"/>
      <c r="BG267" s="73"/>
    </row>
    <row r="268" spans="1:59" x14ac:dyDescent="0.3">
      <c r="A268" s="141"/>
      <c r="B268" s="314"/>
      <c r="C268" s="314"/>
      <c r="D268" s="314"/>
      <c r="E268" s="314"/>
      <c r="F268" s="314"/>
      <c r="G268" s="71"/>
      <c r="H268" s="71"/>
      <c r="I268" s="71"/>
      <c r="J268" s="71"/>
      <c r="K268" s="71"/>
      <c r="L268" s="71"/>
      <c r="M268" s="71"/>
      <c r="N268" s="71"/>
      <c r="O268" s="71"/>
      <c r="AR268" s="71"/>
      <c r="AS268" s="71"/>
      <c r="AT268" s="71"/>
      <c r="AU268" s="71"/>
      <c r="AV268" s="71"/>
      <c r="AW268" s="71"/>
      <c r="AX268" s="71"/>
      <c r="AY268" s="71"/>
      <c r="AZ268" s="71"/>
      <c r="BA268" s="72"/>
      <c r="BB268" s="72"/>
      <c r="BC268" s="73"/>
      <c r="BD268" s="73"/>
      <c r="BE268" s="73"/>
      <c r="BF268" s="73"/>
      <c r="BG268" s="73"/>
    </row>
    <row r="269" spans="1:59" x14ac:dyDescent="0.3">
      <c r="A269" s="141"/>
      <c r="B269" s="314"/>
      <c r="C269" s="314"/>
      <c r="D269" s="314"/>
      <c r="E269" s="314"/>
      <c r="F269" s="314"/>
      <c r="G269" s="71"/>
      <c r="H269" s="71"/>
      <c r="I269" s="71"/>
      <c r="J269" s="71"/>
      <c r="K269" s="71"/>
      <c r="L269" s="71"/>
      <c r="M269" s="71"/>
      <c r="N269" s="71"/>
      <c r="O269" s="71"/>
      <c r="AR269" s="71"/>
      <c r="AS269" s="71"/>
      <c r="AT269" s="71"/>
      <c r="AU269" s="71"/>
      <c r="AV269" s="71"/>
      <c r="AW269" s="71"/>
      <c r="AX269" s="71"/>
      <c r="AY269" s="71"/>
      <c r="AZ269" s="71"/>
      <c r="BA269" s="72"/>
      <c r="BB269" s="72"/>
      <c r="BC269" s="73"/>
      <c r="BD269" s="73"/>
      <c r="BE269" s="73"/>
      <c r="BF269" s="73"/>
      <c r="BG269" s="73"/>
    </row>
    <row r="270" spans="1:59" x14ac:dyDescent="0.3">
      <c r="A270" s="141"/>
      <c r="B270" s="314"/>
      <c r="C270" s="314"/>
      <c r="D270" s="314"/>
      <c r="E270" s="314"/>
      <c r="F270" s="314"/>
      <c r="G270" s="71"/>
      <c r="H270" s="71"/>
      <c r="I270" s="71"/>
      <c r="J270" s="71"/>
      <c r="K270" s="71"/>
      <c r="L270" s="71"/>
      <c r="M270" s="71"/>
      <c r="N270" s="71"/>
      <c r="O270" s="71"/>
      <c r="AR270" s="71"/>
      <c r="AS270" s="71"/>
      <c r="AT270" s="71"/>
      <c r="AU270" s="71"/>
      <c r="AV270" s="71"/>
      <c r="AW270" s="71"/>
      <c r="AX270" s="71"/>
      <c r="AY270" s="71"/>
      <c r="AZ270" s="71"/>
      <c r="BA270" s="72"/>
      <c r="BB270" s="72"/>
      <c r="BC270" s="73"/>
      <c r="BD270" s="73"/>
      <c r="BE270" s="73"/>
      <c r="BF270" s="73"/>
      <c r="BG270" s="73"/>
    </row>
    <row r="271" spans="1:59" x14ac:dyDescent="0.3">
      <c r="A271" s="141"/>
      <c r="B271" s="314"/>
      <c r="C271" s="314"/>
      <c r="D271" s="314"/>
      <c r="E271" s="314"/>
      <c r="F271" s="314"/>
      <c r="G271" s="71"/>
      <c r="H271" s="71"/>
      <c r="I271" s="71"/>
      <c r="J271" s="71"/>
      <c r="K271" s="71"/>
      <c r="L271" s="71"/>
      <c r="M271" s="71"/>
      <c r="N271" s="71"/>
      <c r="O271" s="71"/>
      <c r="AR271" s="71"/>
      <c r="AS271" s="71"/>
      <c r="AT271" s="71"/>
      <c r="AU271" s="71"/>
      <c r="AV271" s="71"/>
      <c r="AW271" s="71"/>
      <c r="AX271" s="71"/>
      <c r="AY271" s="71"/>
      <c r="AZ271" s="71"/>
      <c r="BA271" s="72"/>
      <c r="BB271" s="72"/>
      <c r="BC271" s="73"/>
      <c r="BD271" s="73"/>
      <c r="BE271" s="73"/>
      <c r="BF271" s="73"/>
      <c r="BG271" s="73"/>
    </row>
    <row r="272" spans="1:59" x14ac:dyDescent="0.3">
      <c r="A272" s="141"/>
      <c r="B272" s="314"/>
      <c r="C272" s="314"/>
      <c r="D272" s="314"/>
      <c r="E272" s="314"/>
      <c r="F272" s="314"/>
      <c r="G272" s="71"/>
      <c r="H272" s="71"/>
      <c r="I272" s="71"/>
      <c r="J272" s="71"/>
      <c r="K272" s="71"/>
      <c r="L272" s="71"/>
      <c r="M272" s="71"/>
      <c r="N272" s="71"/>
      <c r="O272" s="71"/>
      <c r="AR272" s="71"/>
      <c r="AS272" s="71"/>
      <c r="AT272" s="71"/>
      <c r="AU272" s="71"/>
      <c r="AV272" s="71"/>
      <c r="AW272" s="71"/>
      <c r="AX272" s="71"/>
      <c r="AY272" s="71"/>
      <c r="AZ272" s="71"/>
      <c r="BA272" s="72"/>
      <c r="BB272" s="72"/>
      <c r="BC272" s="73"/>
      <c r="BD272" s="73"/>
      <c r="BE272" s="73"/>
      <c r="BF272" s="73"/>
      <c r="BG272" s="73"/>
    </row>
    <row r="273" spans="1:59" x14ac:dyDescent="0.3">
      <c r="A273" s="141"/>
      <c r="B273" s="314"/>
      <c r="C273" s="314"/>
      <c r="D273" s="314"/>
      <c r="E273" s="314"/>
      <c r="F273" s="314"/>
      <c r="G273" s="71"/>
      <c r="H273" s="71"/>
      <c r="I273" s="71"/>
      <c r="J273" s="71"/>
      <c r="K273" s="71"/>
      <c r="L273" s="71"/>
      <c r="M273" s="71"/>
      <c r="N273" s="71"/>
      <c r="O273" s="71"/>
      <c r="AR273" s="71"/>
      <c r="AS273" s="71"/>
      <c r="AT273" s="71"/>
      <c r="AU273" s="71"/>
      <c r="AV273" s="71"/>
      <c r="AW273" s="71"/>
      <c r="AX273" s="71"/>
      <c r="AY273" s="71"/>
      <c r="AZ273" s="71"/>
      <c r="BA273" s="72"/>
      <c r="BB273" s="72"/>
      <c r="BC273" s="73"/>
      <c r="BD273" s="73"/>
      <c r="BE273" s="73"/>
      <c r="BF273" s="73"/>
      <c r="BG273" s="73"/>
    </row>
    <row r="274" spans="1:59" x14ac:dyDescent="0.3">
      <c r="A274" s="141"/>
      <c r="B274" s="314"/>
      <c r="C274" s="314"/>
      <c r="D274" s="314"/>
      <c r="E274" s="314"/>
      <c r="F274" s="314"/>
      <c r="G274" s="71"/>
      <c r="H274" s="71"/>
      <c r="I274" s="71"/>
      <c r="J274" s="71"/>
      <c r="K274" s="71"/>
      <c r="L274" s="71"/>
      <c r="M274" s="71"/>
      <c r="N274" s="71"/>
      <c r="O274" s="71"/>
      <c r="AR274" s="71"/>
      <c r="AS274" s="71"/>
      <c r="AT274" s="71"/>
      <c r="AU274" s="71"/>
      <c r="AV274" s="71"/>
      <c r="AW274" s="71"/>
      <c r="AX274" s="71"/>
      <c r="AY274" s="71"/>
      <c r="AZ274" s="71"/>
      <c r="BA274" s="72"/>
      <c r="BB274" s="72"/>
      <c r="BC274" s="73"/>
      <c r="BD274" s="73"/>
      <c r="BE274" s="73"/>
      <c r="BF274" s="73"/>
      <c r="BG274" s="73"/>
    </row>
    <row r="275" spans="1:59" x14ac:dyDescent="0.3">
      <c r="A275" s="141"/>
      <c r="B275" s="314"/>
      <c r="C275" s="314"/>
      <c r="D275" s="314"/>
      <c r="E275" s="314"/>
      <c r="F275" s="314"/>
      <c r="G275" s="71"/>
      <c r="H275" s="71"/>
      <c r="I275" s="71"/>
      <c r="J275" s="71"/>
      <c r="K275" s="71"/>
      <c r="L275" s="71"/>
      <c r="M275" s="71"/>
      <c r="N275" s="71"/>
      <c r="O275" s="71"/>
      <c r="AR275" s="71"/>
      <c r="AS275" s="71"/>
      <c r="AT275" s="71"/>
      <c r="AU275" s="71"/>
      <c r="AV275" s="71"/>
      <c r="AW275" s="71"/>
      <c r="AX275" s="71"/>
      <c r="AY275" s="71"/>
      <c r="AZ275" s="71"/>
      <c r="BA275" s="72"/>
      <c r="BB275" s="72"/>
      <c r="BC275" s="73"/>
      <c r="BD275" s="73"/>
      <c r="BE275" s="73"/>
      <c r="BF275" s="73"/>
      <c r="BG275" s="73"/>
    </row>
    <row r="276" spans="1:59" x14ac:dyDescent="0.3">
      <c r="A276" s="141"/>
      <c r="B276" s="314"/>
      <c r="C276" s="314"/>
      <c r="D276" s="314"/>
      <c r="E276" s="314"/>
      <c r="F276" s="314"/>
      <c r="G276" s="71"/>
      <c r="H276" s="71"/>
      <c r="I276" s="71"/>
      <c r="J276" s="71"/>
      <c r="K276" s="71"/>
      <c r="L276" s="71"/>
      <c r="M276" s="71"/>
      <c r="N276" s="71"/>
      <c r="O276" s="71"/>
      <c r="AR276" s="71"/>
      <c r="AS276" s="71"/>
      <c r="AT276" s="71"/>
      <c r="AU276" s="71"/>
      <c r="AV276" s="71"/>
      <c r="AW276" s="71"/>
      <c r="AX276" s="71"/>
      <c r="AY276" s="71"/>
      <c r="AZ276" s="71"/>
      <c r="BA276" s="72"/>
      <c r="BB276" s="72"/>
      <c r="BC276" s="73"/>
      <c r="BD276" s="73"/>
      <c r="BE276" s="73"/>
      <c r="BF276" s="73"/>
      <c r="BG276" s="73"/>
    </row>
    <row r="277" spans="1:59" x14ac:dyDescent="0.3">
      <c r="A277" s="141"/>
      <c r="B277" s="314"/>
      <c r="C277" s="314"/>
      <c r="D277" s="314"/>
      <c r="E277" s="314"/>
      <c r="F277" s="314"/>
      <c r="G277" s="71"/>
      <c r="H277" s="71"/>
      <c r="I277" s="71"/>
      <c r="J277" s="71"/>
      <c r="K277" s="71"/>
      <c r="L277" s="71"/>
      <c r="M277" s="71"/>
      <c r="N277" s="71"/>
      <c r="O277" s="71"/>
      <c r="AR277" s="71"/>
      <c r="AS277" s="71"/>
      <c r="AT277" s="71"/>
      <c r="AU277" s="71"/>
      <c r="AV277" s="71"/>
      <c r="AW277" s="71"/>
      <c r="AX277" s="71"/>
      <c r="AY277" s="71"/>
      <c r="AZ277" s="71"/>
      <c r="BA277" s="72"/>
      <c r="BB277" s="72"/>
      <c r="BC277" s="73"/>
      <c r="BD277" s="73"/>
      <c r="BE277" s="73"/>
      <c r="BF277" s="73"/>
      <c r="BG277" s="73"/>
    </row>
    <row r="278" spans="1:59" x14ac:dyDescent="0.3">
      <c r="A278" s="141"/>
      <c r="B278" s="314"/>
      <c r="C278" s="314"/>
      <c r="D278" s="314"/>
      <c r="E278" s="314"/>
      <c r="F278" s="314"/>
      <c r="G278" s="71"/>
      <c r="H278" s="71"/>
      <c r="I278" s="71"/>
      <c r="J278" s="71"/>
      <c r="K278" s="71"/>
      <c r="L278" s="71"/>
      <c r="M278" s="71"/>
      <c r="N278" s="71"/>
      <c r="O278" s="71"/>
      <c r="AR278" s="71"/>
      <c r="AS278" s="71"/>
      <c r="AT278" s="71"/>
      <c r="AU278" s="71"/>
      <c r="AV278" s="71"/>
      <c r="AW278" s="71"/>
      <c r="AX278" s="71"/>
      <c r="AY278" s="71"/>
      <c r="AZ278" s="71"/>
      <c r="BA278" s="72"/>
      <c r="BB278" s="72"/>
      <c r="BC278" s="73"/>
      <c r="BD278" s="73"/>
      <c r="BE278" s="73"/>
      <c r="BF278" s="73"/>
      <c r="BG278" s="73"/>
    </row>
    <row r="279" spans="1:59" x14ac:dyDescent="0.3">
      <c r="A279" s="141"/>
      <c r="B279" s="314"/>
      <c r="C279" s="314"/>
      <c r="D279" s="314"/>
      <c r="E279" s="314"/>
      <c r="F279" s="314"/>
      <c r="G279" s="71"/>
      <c r="H279" s="71"/>
      <c r="I279" s="71"/>
      <c r="J279" s="71"/>
      <c r="K279" s="71"/>
      <c r="L279" s="71"/>
      <c r="M279" s="71"/>
      <c r="N279" s="71"/>
      <c r="O279" s="71"/>
      <c r="AR279" s="71"/>
      <c r="AS279" s="71"/>
      <c r="AT279" s="71"/>
      <c r="AU279" s="71"/>
      <c r="AV279" s="71"/>
      <c r="AW279" s="71"/>
      <c r="AX279" s="71"/>
      <c r="AY279" s="71"/>
      <c r="AZ279" s="71"/>
      <c r="BA279" s="72"/>
      <c r="BB279" s="72"/>
      <c r="BC279" s="73"/>
      <c r="BD279" s="73"/>
      <c r="BE279" s="73"/>
      <c r="BF279" s="73"/>
      <c r="BG279" s="73"/>
    </row>
    <row r="280" spans="1:59" x14ac:dyDescent="0.3">
      <c r="A280" s="141"/>
      <c r="B280" s="314"/>
      <c r="C280" s="314"/>
      <c r="D280" s="314"/>
      <c r="E280" s="314"/>
      <c r="F280" s="314"/>
      <c r="G280" s="71"/>
      <c r="H280" s="71"/>
      <c r="I280" s="71"/>
      <c r="J280" s="71"/>
      <c r="K280" s="71"/>
      <c r="L280" s="71"/>
      <c r="M280" s="71"/>
      <c r="N280" s="71"/>
      <c r="O280" s="71"/>
      <c r="AR280" s="71"/>
      <c r="AS280" s="71"/>
      <c r="AT280" s="71"/>
      <c r="AU280" s="71"/>
      <c r="AV280" s="71"/>
      <c r="AW280" s="71"/>
      <c r="AX280" s="71"/>
      <c r="AY280" s="71"/>
      <c r="AZ280" s="71"/>
      <c r="BA280" s="72"/>
      <c r="BB280" s="72"/>
      <c r="BC280" s="73"/>
      <c r="BD280" s="73"/>
      <c r="BE280" s="73"/>
      <c r="BF280" s="73"/>
      <c r="BG280" s="73"/>
    </row>
    <row r="281" spans="1:59" x14ac:dyDescent="0.3">
      <c r="A281" s="141"/>
      <c r="B281" s="314"/>
      <c r="C281" s="314"/>
      <c r="D281" s="314"/>
      <c r="E281" s="314"/>
      <c r="F281" s="314"/>
      <c r="G281" s="71"/>
      <c r="H281" s="71"/>
      <c r="I281" s="71"/>
      <c r="J281" s="71"/>
      <c r="K281" s="71"/>
      <c r="L281" s="71"/>
      <c r="M281" s="71"/>
      <c r="N281" s="71"/>
      <c r="O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2"/>
      <c r="BB281" s="72"/>
      <c r="BC281" s="73"/>
      <c r="BD281" s="73"/>
      <c r="BE281" s="73"/>
      <c r="BF281" s="73"/>
      <c r="BG281" s="73"/>
    </row>
    <row r="282" spans="1:59" x14ac:dyDescent="0.3">
      <c r="A282" s="141"/>
      <c r="B282" s="314"/>
      <c r="C282" s="314"/>
      <c r="D282" s="314"/>
      <c r="E282" s="314"/>
      <c r="F282" s="314"/>
      <c r="G282" s="71"/>
      <c r="H282" s="71"/>
      <c r="I282" s="71"/>
      <c r="J282" s="71"/>
      <c r="K282" s="71"/>
      <c r="L282" s="71"/>
      <c r="M282" s="71"/>
      <c r="N282" s="71"/>
      <c r="O282" s="71"/>
      <c r="AR282" s="71"/>
      <c r="AS282" s="71"/>
      <c r="AT282" s="71"/>
      <c r="AU282" s="71"/>
      <c r="AV282" s="71"/>
      <c r="AW282" s="71"/>
      <c r="AX282" s="71"/>
      <c r="AY282" s="71"/>
      <c r="AZ282" s="71"/>
      <c r="BA282" s="72"/>
      <c r="BB282" s="72"/>
      <c r="BC282" s="73"/>
      <c r="BD282" s="73"/>
      <c r="BE282" s="73"/>
      <c r="BF282" s="73"/>
      <c r="BG282" s="73"/>
    </row>
    <row r="283" spans="1:59" x14ac:dyDescent="0.3">
      <c r="A283" s="141"/>
      <c r="B283" s="314"/>
      <c r="C283" s="314"/>
      <c r="D283" s="314"/>
      <c r="E283" s="314"/>
      <c r="F283" s="314"/>
      <c r="G283" s="71"/>
      <c r="H283" s="71"/>
      <c r="I283" s="71"/>
      <c r="J283" s="71"/>
      <c r="K283" s="71"/>
      <c r="L283" s="71"/>
      <c r="M283" s="71"/>
      <c r="N283" s="71"/>
      <c r="O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2"/>
      <c r="BB283" s="72"/>
      <c r="BC283" s="73"/>
      <c r="BD283" s="73"/>
      <c r="BE283" s="73"/>
      <c r="BF283" s="73"/>
      <c r="BG283" s="73"/>
    </row>
    <row r="284" spans="1:59" x14ac:dyDescent="0.3">
      <c r="A284" s="141"/>
      <c r="B284" s="314"/>
      <c r="C284" s="314"/>
      <c r="D284" s="314"/>
      <c r="E284" s="314"/>
      <c r="F284" s="314"/>
      <c r="G284" s="71"/>
      <c r="H284" s="71"/>
      <c r="I284" s="71"/>
      <c r="J284" s="71"/>
      <c r="K284" s="71"/>
      <c r="L284" s="71"/>
      <c r="M284" s="71"/>
      <c r="N284" s="71"/>
      <c r="O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2"/>
      <c r="BB284" s="72"/>
      <c r="BC284" s="73"/>
      <c r="BD284" s="73"/>
      <c r="BE284" s="73"/>
      <c r="BF284" s="73"/>
      <c r="BG284" s="73"/>
    </row>
    <row r="285" spans="1:59" x14ac:dyDescent="0.3">
      <c r="A285" s="141"/>
      <c r="B285" s="314"/>
      <c r="C285" s="314"/>
      <c r="D285" s="314"/>
      <c r="E285" s="314"/>
      <c r="F285" s="314"/>
      <c r="G285" s="71"/>
      <c r="H285" s="71"/>
      <c r="I285" s="71"/>
      <c r="J285" s="71"/>
      <c r="K285" s="71"/>
      <c r="L285" s="71"/>
      <c r="M285" s="71"/>
      <c r="N285" s="71"/>
      <c r="O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2"/>
      <c r="BB285" s="72"/>
      <c r="BC285" s="73"/>
      <c r="BD285" s="73"/>
      <c r="BE285" s="73"/>
      <c r="BF285" s="73"/>
      <c r="BG285" s="73"/>
    </row>
    <row r="286" spans="1:59" x14ac:dyDescent="0.3">
      <c r="A286" s="141"/>
      <c r="B286" s="314"/>
      <c r="C286" s="314"/>
      <c r="D286" s="314"/>
      <c r="E286" s="314"/>
      <c r="F286" s="314"/>
      <c r="G286" s="71"/>
      <c r="H286" s="71"/>
      <c r="I286" s="71"/>
      <c r="J286" s="71"/>
      <c r="K286" s="71"/>
      <c r="L286" s="71"/>
      <c r="M286" s="71"/>
      <c r="N286" s="71"/>
      <c r="O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2"/>
      <c r="BB286" s="72"/>
      <c r="BC286" s="73"/>
      <c r="BD286" s="73"/>
      <c r="BE286" s="73"/>
      <c r="BF286" s="73"/>
      <c r="BG286" s="73"/>
    </row>
    <row r="287" spans="1:59" x14ac:dyDescent="0.3">
      <c r="A287" s="141"/>
      <c r="B287" s="314"/>
      <c r="C287" s="314"/>
      <c r="D287" s="314"/>
      <c r="E287" s="314"/>
      <c r="F287" s="314"/>
      <c r="G287" s="71"/>
      <c r="H287" s="71"/>
      <c r="I287" s="71"/>
      <c r="J287" s="71"/>
      <c r="K287" s="71"/>
      <c r="L287" s="71"/>
      <c r="M287" s="71"/>
      <c r="N287" s="71"/>
      <c r="O287" s="71"/>
      <c r="AR287" s="71"/>
      <c r="AS287" s="71"/>
      <c r="AT287" s="71"/>
      <c r="AU287" s="71"/>
      <c r="AV287" s="71"/>
      <c r="AW287" s="71"/>
      <c r="AX287" s="71"/>
      <c r="AY287" s="71"/>
      <c r="AZ287" s="71"/>
      <c r="BA287" s="72"/>
      <c r="BB287" s="72"/>
      <c r="BC287" s="73"/>
      <c r="BD287" s="73"/>
      <c r="BE287" s="73"/>
      <c r="BF287" s="73"/>
      <c r="BG287" s="73"/>
    </row>
    <row r="288" spans="1:59" x14ac:dyDescent="0.3">
      <c r="A288" s="141"/>
      <c r="B288" s="314"/>
      <c r="C288" s="314"/>
      <c r="D288" s="314"/>
      <c r="E288" s="314"/>
      <c r="F288" s="314"/>
      <c r="G288" s="71"/>
      <c r="H288" s="71"/>
      <c r="I288" s="71"/>
      <c r="J288" s="71"/>
      <c r="K288" s="71"/>
      <c r="L288" s="71"/>
      <c r="M288" s="71"/>
      <c r="N288" s="71"/>
      <c r="O288" s="71"/>
      <c r="AR288" s="71"/>
      <c r="AS288" s="71"/>
      <c r="AT288" s="71"/>
      <c r="AU288" s="71"/>
      <c r="AV288" s="71"/>
      <c r="AW288" s="71"/>
      <c r="AX288" s="71"/>
      <c r="AY288" s="71"/>
      <c r="AZ288" s="71"/>
      <c r="BA288" s="72"/>
      <c r="BB288" s="72"/>
      <c r="BC288" s="73"/>
      <c r="BD288" s="73"/>
      <c r="BE288" s="73"/>
      <c r="BF288" s="73"/>
      <c r="BG288" s="73"/>
    </row>
    <row r="289" spans="1:59" x14ac:dyDescent="0.3">
      <c r="A289" s="141"/>
      <c r="B289" s="314"/>
      <c r="C289" s="314"/>
      <c r="D289" s="314"/>
      <c r="E289" s="314"/>
      <c r="F289" s="314"/>
      <c r="G289" s="71"/>
      <c r="H289" s="71"/>
      <c r="I289" s="71"/>
      <c r="J289" s="71"/>
      <c r="K289" s="71"/>
      <c r="L289" s="71"/>
      <c r="M289" s="71"/>
      <c r="N289" s="71"/>
      <c r="O289" s="71"/>
      <c r="AR289" s="71"/>
      <c r="AS289" s="71"/>
      <c r="AT289" s="71"/>
      <c r="AU289" s="71"/>
      <c r="AV289" s="71"/>
      <c r="AW289" s="71"/>
      <c r="AX289" s="71"/>
      <c r="AY289" s="71"/>
      <c r="AZ289" s="71"/>
      <c r="BA289" s="72"/>
      <c r="BB289" s="72"/>
      <c r="BC289" s="73"/>
      <c r="BD289" s="73"/>
      <c r="BE289" s="73"/>
      <c r="BF289" s="73"/>
      <c r="BG289" s="73"/>
    </row>
    <row r="290" spans="1:59" x14ac:dyDescent="0.3">
      <c r="A290" s="141"/>
      <c r="B290" s="314"/>
      <c r="C290" s="314"/>
      <c r="D290" s="314"/>
      <c r="E290" s="314"/>
      <c r="F290" s="314"/>
      <c r="G290" s="71"/>
      <c r="H290" s="71"/>
      <c r="I290" s="71"/>
      <c r="J290" s="71"/>
      <c r="K290" s="71"/>
      <c r="L290" s="71"/>
      <c r="M290" s="71"/>
      <c r="N290" s="71"/>
      <c r="O290" s="71"/>
      <c r="AR290" s="71"/>
      <c r="AS290" s="71"/>
      <c r="AT290" s="71"/>
      <c r="AU290" s="71"/>
      <c r="AV290" s="71"/>
      <c r="AW290" s="71"/>
      <c r="AX290" s="71"/>
      <c r="AY290" s="71"/>
      <c r="AZ290" s="71"/>
      <c r="BA290" s="72"/>
      <c r="BB290" s="72"/>
      <c r="BC290" s="73"/>
      <c r="BD290" s="73"/>
      <c r="BE290" s="73"/>
      <c r="BF290" s="73"/>
      <c r="BG290" s="73"/>
    </row>
    <row r="291" spans="1:59" x14ac:dyDescent="0.3">
      <c r="A291" s="141"/>
      <c r="B291" s="314"/>
      <c r="C291" s="314"/>
      <c r="D291" s="314"/>
      <c r="E291" s="314"/>
      <c r="F291" s="314"/>
      <c r="G291" s="71"/>
      <c r="H291" s="71"/>
      <c r="I291" s="71"/>
      <c r="J291" s="71"/>
      <c r="K291" s="71"/>
      <c r="L291" s="71"/>
      <c r="M291" s="71"/>
      <c r="N291" s="71"/>
      <c r="O291" s="71"/>
      <c r="AR291" s="71"/>
      <c r="AS291" s="71"/>
      <c r="AT291" s="71"/>
      <c r="AU291" s="71"/>
      <c r="AV291" s="71"/>
      <c r="AW291" s="71"/>
      <c r="AX291" s="71"/>
      <c r="AY291" s="71"/>
      <c r="AZ291" s="71"/>
      <c r="BA291" s="72"/>
      <c r="BB291" s="72"/>
      <c r="BC291" s="73"/>
      <c r="BD291" s="73"/>
      <c r="BE291" s="73"/>
      <c r="BF291" s="73"/>
      <c r="BG291" s="73"/>
    </row>
    <row r="292" spans="1:59" x14ac:dyDescent="0.3">
      <c r="A292" s="141"/>
      <c r="B292" s="314"/>
      <c r="C292" s="314"/>
      <c r="D292" s="314"/>
      <c r="E292" s="314"/>
      <c r="F292" s="314"/>
      <c r="G292" s="71"/>
      <c r="H292" s="71"/>
      <c r="I292" s="71"/>
      <c r="J292" s="71"/>
      <c r="K292" s="71"/>
      <c r="L292" s="71"/>
      <c r="M292" s="71"/>
      <c r="N292" s="71"/>
      <c r="O292" s="71"/>
      <c r="AR292" s="71"/>
      <c r="AS292" s="71"/>
      <c r="AT292" s="71"/>
      <c r="AU292" s="71"/>
      <c r="AV292" s="71"/>
      <c r="AW292" s="71"/>
      <c r="AX292" s="71"/>
      <c r="AY292" s="71"/>
      <c r="AZ292" s="71"/>
      <c r="BA292" s="72"/>
      <c r="BB292" s="72"/>
      <c r="BC292" s="73"/>
      <c r="BD292" s="73"/>
      <c r="BE292" s="73"/>
      <c r="BF292" s="73"/>
      <c r="BG292" s="73"/>
    </row>
    <row r="293" spans="1:59" x14ac:dyDescent="0.3">
      <c r="A293" s="141"/>
      <c r="B293" s="314"/>
      <c r="C293" s="314"/>
      <c r="D293" s="314"/>
      <c r="E293" s="314"/>
      <c r="F293" s="314"/>
      <c r="G293" s="71"/>
      <c r="H293" s="71"/>
      <c r="I293" s="71"/>
      <c r="J293" s="71"/>
      <c r="K293" s="71"/>
      <c r="L293" s="71"/>
      <c r="M293" s="71"/>
      <c r="N293" s="71"/>
      <c r="O293" s="71"/>
      <c r="AR293" s="71"/>
      <c r="AS293" s="71"/>
      <c r="AT293" s="71"/>
      <c r="AU293" s="71"/>
      <c r="AV293" s="71"/>
      <c r="AW293" s="71"/>
      <c r="AX293" s="71"/>
      <c r="AY293" s="71"/>
      <c r="AZ293" s="71"/>
      <c r="BA293" s="72"/>
      <c r="BB293" s="72"/>
      <c r="BC293" s="73"/>
      <c r="BD293" s="73"/>
      <c r="BE293" s="73"/>
      <c r="BF293" s="73"/>
      <c r="BG293" s="73"/>
    </row>
    <row r="294" spans="1:59" x14ac:dyDescent="0.3">
      <c r="A294" s="141"/>
      <c r="B294" s="314"/>
      <c r="C294" s="314"/>
      <c r="D294" s="314"/>
      <c r="E294" s="314"/>
      <c r="F294" s="314"/>
      <c r="G294" s="71"/>
      <c r="H294" s="71"/>
      <c r="I294" s="71"/>
      <c r="J294" s="71"/>
      <c r="K294" s="71"/>
      <c r="L294" s="71"/>
      <c r="M294" s="71"/>
      <c r="N294" s="71"/>
      <c r="O294" s="71"/>
      <c r="AR294" s="71"/>
      <c r="AS294" s="71"/>
      <c r="AT294" s="71"/>
      <c r="AU294" s="71"/>
      <c r="AV294" s="71"/>
      <c r="AW294" s="71"/>
      <c r="AX294" s="71"/>
      <c r="AY294" s="71"/>
      <c r="AZ294" s="71"/>
      <c r="BA294" s="72"/>
      <c r="BB294" s="72"/>
      <c r="BC294" s="73"/>
      <c r="BD294" s="73"/>
      <c r="BE294" s="73"/>
      <c r="BF294" s="73"/>
      <c r="BG294" s="73"/>
    </row>
    <row r="295" spans="1:59" x14ac:dyDescent="0.3">
      <c r="A295" s="141"/>
      <c r="B295" s="314"/>
      <c r="C295" s="314"/>
      <c r="D295" s="314"/>
      <c r="E295" s="314"/>
      <c r="F295" s="314"/>
      <c r="G295" s="71"/>
      <c r="H295" s="71"/>
      <c r="I295" s="71"/>
      <c r="J295" s="71"/>
      <c r="K295" s="71"/>
      <c r="L295" s="71"/>
      <c r="M295" s="71"/>
      <c r="N295" s="71"/>
      <c r="O295" s="71"/>
      <c r="AR295" s="71"/>
      <c r="AS295" s="71"/>
      <c r="AT295" s="71"/>
      <c r="AU295" s="71"/>
      <c r="AV295" s="71"/>
      <c r="AW295" s="71"/>
      <c r="AX295" s="71"/>
      <c r="AY295" s="71"/>
      <c r="AZ295" s="71"/>
      <c r="BA295" s="72"/>
      <c r="BB295" s="72"/>
      <c r="BC295" s="73"/>
      <c r="BD295" s="73"/>
      <c r="BE295" s="73"/>
      <c r="BF295" s="73"/>
      <c r="BG295" s="73"/>
    </row>
    <row r="296" spans="1:59" x14ac:dyDescent="0.3">
      <c r="A296" s="141"/>
      <c r="B296" s="314"/>
      <c r="C296" s="314"/>
      <c r="D296" s="314"/>
      <c r="E296" s="314"/>
      <c r="F296" s="314"/>
      <c r="G296" s="71"/>
      <c r="H296" s="71"/>
      <c r="I296" s="71"/>
      <c r="J296" s="71"/>
      <c r="K296" s="71"/>
      <c r="L296" s="71"/>
      <c r="M296" s="71"/>
      <c r="N296" s="71"/>
      <c r="O296" s="71"/>
      <c r="AR296" s="71"/>
      <c r="AS296" s="71"/>
      <c r="AT296" s="71"/>
      <c r="AU296" s="71"/>
      <c r="AV296" s="71"/>
      <c r="AW296" s="71"/>
      <c r="AX296" s="71"/>
      <c r="AY296" s="71"/>
      <c r="AZ296" s="71"/>
      <c r="BA296" s="72"/>
      <c r="BB296" s="72"/>
      <c r="BC296" s="73"/>
      <c r="BD296" s="73"/>
      <c r="BE296" s="73"/>
      <c r="BF296" s="73"/>
      <c r="BG296" s="73"/>
    </row>
    <row r="297" spans="1:59" x14ac:dyDescent="0.3">
      <c r="A297" s="141"/>
      <c r="B297" s="314"/>
      <c r="C297" s="314"/>
      <c r="D297" s="314"/>
      <c r="E297" s="314"/>
      <c r="F297" s="314"/>
      <c r="G297" s="71"/>
      <c r="H297" s="71"/>
      <c r="I297" s="71"/>
      <c r="J297" s="71"/>
      <c r="K297" s="71"/>
      <c r="L297" s="71"/>
      <c r="M297" s="71"/>
      <c r="N297" s="71"/>
      <c r="O297" s="71"/>
      <c r="AR297" s="71"/>
      <c r="AS297" s="71"/>
      <c r="AT297" s="71"/>
      <c r="AU297" s="71"/>
      <c r="AV297" s="71"/>
      <c r="AW297" s="71"/>
      <c r="AX297" s="71"/>
      <c r="AY297" s="71"/>
      <c r="AZ297" s="71"/>
      <c r="BA297" s="72"/>
      <c r="BB297" s="72"/>
      <c r="BC297" s="73"/>
      <c r="BD297" s="73"/>
      <c r="BE297" s="73"/>
      <c r="BF297" s="73"/>
      <c r="BG297" s="73"/>
    </row>
    <row r="298" spans="1:59" x14ac:dyDescent="0.3">
      <c r="A298" s="141"/>
      <c r="B298" s="314"/>
      <c r="C298" s="314"/>
      <c r="D298" s="314"/>
      <c r="E298" s="314"/>
      <c r="F298" s="314"/>
      <c r="G298" s="71"/>
      <c r="H298" s="71"/>
      <c r="I298" s="71"/>
      <c r="J298" s="71"/>
      <c r="K298" s="71"/>
      <c r="L298" s="71"/>
      <c r="M298" s="71"/>
      <c r="N298" s="71"/>
      <c r="O298" s="71"/>
      <c r="AR298" s="71"/>
      <c r="AS298" s="71"/>
      <c r="AT298" s="71"/>
      <c r="AU298" s="71"/>
      <c r="AV298" s="71"/>
      <c r="AW298" s="71"/>
      <c r="AX298" s="71"/>
      <c r="AY298" s="71"/>
      <c r="AZ298" s="71"/>
      <c r="BA298" s="72"/>
      <c r="BB298" s="72"/>
      <c r="BC298" s="73"/>
      <c r="BD298" s="73"/>
      <c r="BE298" s="73"/>
      <c r="BF298" s="73"/>
      <c r="BG298" s="73"/>
    </row>
    <row r="299" spans="1:59" x14ac:dyDescent="0.3">
      <c r="A299" s="141"/>
      <c r="B299" s="314"/>
      <c r="C299" s="314"/>
      <c r="D299" s="314"/>
      <c r="E299" s="314"/>
      <c r="F299" s="314"/>
      <c r="G299" s="71"/>
      <c r="H299" s="71"/>
      <c r="I299" s="71"/>
      <c r="J299" s="71"/>
      <c r="K299" s="71"/>
      <c r="L299" s="71"/>
      <c r="M299" s="71"/>
      <c r="N299" s="71"/>
      <c r="O299" s="71"/>
      <c r="AR299" s="71"/>
      <c r="AS299" s="71"/>
      <c r="AT299" s="71"/>
      <c r="AU299" s="71"/>
      <c r="AV299" s="71"/>
      <c r="AW299" s="71"/>
      <c r="AX299" s="71"/>
      <c r="AY299" s="71"/>
      <c r="AZ299" s="71"/>
      <c r="BA299" s="72"/>
      <c r="BB299" s="72"/>
      <c r="BC299" s="73"/>
      <c r="BD299" s="73"/>
      <c r="BE299" s="73"/>
      <c r="BF299" s="73"/>
      <c r="BG299" s="73"/>
    </row>
    <row r="300" spans="1:59" x14ac:dyDescent="0.3">
      <c r="A300" s="141"/>
      <c r="B300" s="314"/>
      <c r="C300" s="314"/>
      <c r="D300" s="314"/>
      <c r="E300" s="314"/>
      <c r="F300" s="314"/>
      <c r="G300" s="71"/>
      <c r="H300" s="71"/>
      <c r="I300" s="71"/>
      <c r="J300" s="71"/>
      <c r="K300" s="71"/>
      <c r="L300" s="71"/>
      <c r="M300" s="71"/>
      <c r="N300" s="71"/>
      <c r="O300" s="71"/>
      <c r="AR300" s="71"/>
      <c r="AS300" s="71"/>
      <c r="AT300" s="71"/>
      <c r="AU300" s="71"/>
      <c r="AV300" s="71"/>
      <c r="AW300" s="71"/>
      <c r="AX300" s="71"/>
      <c r="AY300" s="71"/>
      <c r="AZ300" s="71"/>
      <c r="BA300" s="72"/>
      <c r="BB300" s="72"/>
      <c r="BC300" s="73"/>
      <c r="BD300" s="73"/>
      <c r="BE300" s="73"/>
      <c r="BF300" s="73"/>
      <c r="BG300" s="73"/>
    </row>
    <row r="301" spans="1:59" x14ac:dyDescent="0.3">
      <c r="A301" s="141"/>
      <c r="B301" s="314"/>
      <c r="C301" s="314"/>
      <c r="D301" s="314"/>
      <c r="E301" s="314"/>
      <c r="F301" s="314"/>
      <c r="G301" s="71"/>
      <c r="H301" s="71"/>
      <c r="I301" s="71"/>
      <c r="J301" s="71"/>
      <c r="K301" s="71"/>
      <c r="L301" s="71"/>
      <c r="M301" s="71"/>
      <c r="N301" s="71"/>
      <c r="O301" s="71"/>
      <c r="AR301" s="71"/>
      <c r="AS301" s="71"/>
      <c r="AT301" s="71"/>
      <c r="AU301" s="71"/>
      <c r="AV301" s="71"/>
      <c r="AW301" s="71"/>
      <c r="AX301" s="71"/>
      <c r="AY301" s="71"/>
      <c r="AZ301" s="71"/>
      <c r="BA301" s="72"/>
      <c r="BB301" s="72"/>
      <c r="BC301" s="73"/>
      <c r="BD301" s="73"/>
      <c r="BE301" s="73"/>
      <c r="BF301" s="73"/>
      <c r="BG301" s="73"/>
    </row>
    <row r="302" spans="1:59" x14ac:dyDescent="0.3">
      <c r="A302" s="141"/>
      <c r="B302" s="314"/>
      <c r="C302" s="314"/>
      <c r="D302" s="314"/>
      <c r="E302" s="314"/>
      <c r="F302" s="314"/>
      <c r="G302" s="71"/>
      <c r="H302" s="71"/>
      <c r="I302" s="71"/>
      <c r="J302" s="71"/>
      <c r="K302" s="71"/>
      <c r="L302" s="71"/>
      <c r="M302" s="71"/>
      <c r="N302" s="71"/>
      <c r="O302" s="71"/>
      <c r="AR302" s="71"/>
      <c r="AS302" s="71"/>
      <c r="AT302" s="71"/>
      <c r="AU302" s="71"/>
      <c r="AV302" s="71"/>
      <c r="AW302" s="71"/>
      <c r="AX302" s="71"/>
      <c r="AY302" s="71"/>
      <c r="AZ302" s="71"/>
      <c r="BA302" s="72"/>
      <c r="BB302" s="72"/>
      <c r="BC302" s="73"/>
      <c r="BD302" s="73"/>
      <c r="BE302" s="73"/>
      <c r="BF302" s="73"/>
      <c r="BG302" s="73"/>
    </row>
    <row r="303" spans="1:59" x14ac:dyDescent="0.3">
      <c r="A303" s="141"/>
      <c r="B303" s="314"/>
      <c r="C303" s="314"/>
      <c r="D303" s="314"/>
      <c r="E303" s="314"/>
      <c r="F303" s="314"/>
      <c r="G303" s="71"/>
      <c r="H303" s="71"/>
      <c r="I303" s="71"/>
      <c r="J303" s="71"/>
      <c r="K303" s="71"/>
      <c r="L303" s="71"/>
      <c r="M303" s="71"/>
      <c r="N303" s="71"/>
      <c r="O303" s="71"/>
      <c r="AR303" s="71"/>
      <c r="AS303" s="71"/>
      <c r="AT303" s="71"/>
      <c r="AU303" s="71"/>
      <c r="AV303" s="71"/>
      <c r="AW303" s="71"/>
      <c r="AX303" s="71"/>
      <c r="AY303" s="71"/>
      <c r="AZ303" s="71"/>
      <c r="BA303" s="72"/>
      <c r="BB303" s="72"/>
      <c r="BC303" s="73"/>
      <c r="BD303" s="73"/>
      <c r="BE303" s="73"/>
      <c r="BF303" s="73"/>
      <c r="BG303" s="73"/>
    </row>
    <row r="304" spans="1:59" x14ac:dyDescent="0.3">
      <c r="A304" s="141"/>
      <c r="B304" s="314"/>
      <c r="C304" s="314"/>
      <c r="D304" s="314"/>
      <c r="E304" s="314"/>
      <c r="F304" s="314"/>
      <c r="G304" s="71"/>
      <c r="H304" s="71"/>
      <c r="I304" s="71"/>
      <c r="J304" s="71"/>
      <c r="K304" s="71"/>
      <c r="L304" s="71"/>
      <c r="M304" s="71"/>
      <c r="N304" s="71"/>
      <c r="O304" s="71"/>
      <c r="AR304" s="71"/>
      <c r="AS304" s="71"/>
      <c r="AT304" s="71"/>
      <c r="AU304" s="71"/>
      <c r="AV304" s="71"/>
      <c r="AW304" s="71"/>
      <c r="AX304" s="71"/>
      <c r="AY304" s="71"/>
      <c r="AZ304" s="71"/>
      <c r="BA304" s="72"/>
      <c r="BB304" s="72"/>
      <c r="BC304" s="73"/>
      <c r="BD304" s="73"/>
      <c r="BE304" s="73"/>
      <c r="BF304" s="73"/>
      <c r="BG304" s="73"/>
    </row>
    <row r="305" spans="1:59" x14ac:dyDescent="0.3">
      <c r="A305" s="141"/>
      <c r="B305" s="314"/>
      <c r="C305" s="314"/>
      <c r="D305" s="314"/>
      <c r="E305" s="314"/>
      <c r="F305" s="314"/>
      <c r="G305" s="71"/>
      <c r="H305" s="71"/>
      <c r="I305" s="71"/>
      <c r="J305" s="71"/>
      <c r="K305" s="71"/>
      <c r="L305" s="71"/>
      <c r="M305" s="71"/>
      <c r="N305" s="71"/>
      <c r="O305" s="71"/>
      <c r="AR305" s="71"/>
      <c r="AS305" s="71"/>
      <c r="AT305" s="71"/>
      <c r="AU305" s="71"/>
      <c r="AV305" s="71"/>
      <c r="AW305" s="71"/>
      <c r="AX305" s="71"/>
      <c r="AY305" s="71"/>
      <c r="AZ305" s="71"/>
      <c r="BA305" s="72"/>
      <c r="BB305" s="72"/>
      <c r="BC305" s="73"/>
      <c r="BD305" s="73"/>
      <c r="BE305" s="73"/>
      <c r="BF305" s="73"/>
      <c r="BG305" s="73"/>
    </row>
    <row r="306" spans="1:59" x14ac:dyDescent="0.3">
      <c r="F306" s="314"/>
    </row>
  </sheetData>
  <sheetProtection algorithmName="SHA-512" hashValue="lUmVkYtOSdk4D+t96Cc7DN/mH/9nbKgw1UXLZ0LsYD7yMQ9TaYy6ir6QZs1ZjzO7ct2W8aEU+m8qmi5VNkWlTg==" saltValue="UvSz1pERb3ZMgIsBX45VdQ==" spinCount="100000" sheet="1" objects="1" scenarios="1"/>
  <protectedRanges>
    <protectedRange algorithmName="SHA-512" hashValue="KByIJutvSgEupKhtCX/d+pTJ4lvUrJ38VTfNuCrnLoGMiwKRDRlh47d9wWQf1hkg4ETvWy88C2bNVNASvaWsMA==" saltValue="JqP9grSvgADZQDsjbKxFdQ==" spinCount="100000" sqref="A1:XFD1048576" name="Plage1"/>
  </protectedRanges>
  <phoneticPr fontId="0" type="noConversion"/>
  <pageMargins left="0.78740157499999996" right="0.78740157499999996" top="0.984251969" bottom="0.984251969" header="0.5" footer="0.5"/>
  <pageSetup scale="59" fitToWidth="2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E15"/>
  <sheetViews>
    <sheetView workbookViewId="0">
      <selection activeCell="J216" sqref="A1:XFD1048576"/>
    </sheetView>
  </sheetViews>
  <sheetFormatPr baseColWidth="10" defaultColWidth="9.296875" defaultRowHeight="13" x14ac:dyDescent="0.3"/>
  <cols>
    <col min="1" max="1" width="27.296875" style="393" customWidth="1"/>
    <col min="2" max="2" width="15.796875" style="393" customWidth="1"/>
    <col min="3" max="3" width="31.69921875" style="393" customWidth="1"/>
    <col min="4" max="4" width="30.796875" style="393" customWidth="1"/>
    <col min="5" max="5" width="28.296875" style="393" customWidth="1"/>
    <col min="6" max="6" width="20.296875" style="393" customWidth="1"/>
    <col min="7" max="7" width="20.19921875" style="393" customWidth="1"/>
    <col min="8" max="34" width="9.296875" style="393" customWidth="1"/>
    <col min="35" max="16384" width="9.296875" style="393"/>
  </cols>
  <sheetData>
    <row r="1" spans="1:5" s="519" customFormat="1" ht="21" customHeight="1" x14ac:dyDescent="0.3">
      <c r="A1" s="206" t="s">
        <v>508</v>
      </c>
    </row>
    <row r="3" spans="1:5" ht="29.25" customHeight="1" x14ac:dyDescent="0.3">
      <c r="B3" s="963" t="s">
        <v>746</v>
      </c>
      <c r="C3" s="962" t="s">
        <v>759</v>
      </c>
      <c r="D3" s="962"/>
      <c r="E3" s="962"/>
    </row>
    <row r="4" spans="1:5" ht="40" customHeight="1" x14ac:dyDescent="0.3">
      <c r="B4" s="964"/>
      <c r="C4" s="715" t="s">
        <v>892</v>
      </c>
      <c r="D4" s="715" t="s">
        <v>748</v>
      </c>
      <c r="E4" s="715" t="s">
        <v>749</v>
      </c>
    </row>
    <row r="5" spans="1:5" ht="22" customHeight="1" x14ac:dyDescent="0.3">
      <c r="A5" s="492" t="s">
        <v>681</v>
      </c>
      <c r="B5" s="120">
        <f>INTRO!B21</f>
        <v>8297717</v>
      </c>
      <c r="C5" s="574">
        <f>'RIN-2017'!I49*1000</f>
        <v>2501830</v>
      </c>
      <c r="D5" s="120">
        <f>'RIN-2017'!I50*1000</f>
        <v>590000</v>
      </c>
      <c r="E5" s="120">
        <f>'RIN-2017'!I51*1000</f>
        <v>152180</v>
      </c>
    </row>
    <row r="6" spans="1:5" ht="22" customHeight="1" x14ac:dyDescent="0.3">
      <c r="A6" s="492" t="s">
        <v>313</v>
      </c>
      <c r="B6" s="120">
        <f>INTRO!B20</f>
        <v>574321</v>
      </c>
      <c r="C6" s="573">
        <f>$B$6/$B$5*C5</f>
        <v>173162.51053512673</v>
      </c>
      <c r="D6" s="573">
        <f t="shared" ref="D6:E6" si="0">$B$6/$B$5*D5</f>
        <v>40836.460197425389</v>
      </c>
      <c r="E6" s="573">
        <f t="shared" si="0"/>
        <v>10533.038157363044</v>
      </c>
    </row>
    <row r="7" spans="1:5" ht="15" customHeight="1" x14ac:dyDescent="0.3">
      <c r="A7" s="761" t="s">
        <v>891</v>
      </c>
    </row>
    <row r="8" spans="1:5" ht="17.149999999999999" customHeight="1" x14ac:dyDescent="0.3">
      <c r="A8" s="762" t="s">
        <v>758</v>
      </c>
    </row>
    <row r="9" spans="1:5" x14ac:dyDescent="0.3">
      <c r="A9" s="417" t="s">
        <v>554</v>
      </c>
    </row>
    <row r="10" spans="1:5" x14ac:dyDescent="0.3">
      <c r="A10" s="763" t="s">
        <v>553</v>
      </c>
    </row>
    <row r="11" spans="1:5" x14ac:dyDescent="0.3">
      <c r="A11" s="395"/>
    </row>
    <row r="12" spans="1:5" ht="24" customHeight="1" x14ac:dyDescent="0.3"/>
    <row r="13" spans="1:5" ht="20.149999999999999" customHeight="1" x14ac:dyDescent="0.3">
      <c r="A13" s="395"/>
    </row>
    <row r="15" spans="1:5" x14ac:dyDescent="0.3">
      <c r="A15" s="413"/>
    </row>
  </sheetData>
  <sheetProtection algorithmName="SHA-512" hashValue="u5Fqtu7SqdQ0hflB64CnGePocTD8zLzrTuRevCS9txN5RINFHI2DJouoxAD81SmNGgjMrG/mQd7KxPKXzKcgwA==" saltValue="5sP0GHYXfQVMIvcVswl+Pw==" spinCount="100000" sheet="1" objects="1" scenarios="1"/>
  <protectedRanges>
    <protectedRange algorithmName="SHA-512" hashValue="cf32fhKVyYOCBLBtlCMBWZdroaX+g10q5LtQUkHeF7YfF0eBQO4GLE+DkX1HnQpF6/GbtPwRuvc2CxZENV7Yww==" saltValue="vJB70UdZ4T4tQvnf11LClA==" spinCount="100000" sqref="A1:XFD1048576" name="Plage1"/>
  </protectedRanges>
  <mergeCells count="2">
    <mergeCell ref="C3:E3"/>
    <mergeCell ref="B3:B4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>
    <tabColor rgb="FF002060"/>
    <pageSetUpPr fitToPage="1"/>
  </sheetPr>
  <dimension ref="A1:I145"/>
  <sheetViews>
    <sheetView showGridLines="0" workbookViewId="0">
      <selection activeCell="J216" sqref="A1:XFD1048576"/>
    </sheetView>
  </sheetViews>
  <sheetFormatPr baseColWidth="10" defaultColWidth="9.296875" defaultRowHeight="13" x14ac:dyDescent="0.3"/>
  <cols>
    <col min="1" max="1" width="42" style="11" customWidth="1"/>
    <col min="2" max="2" width="17.296875" style="11" customWidth="1"/>
    <col min="3" max="3" width="21.796875" style="11" customWidth="1"/>
    <col min="4" max="4" width="37.296875" style="11" customWidth="1"/>
    <col min="5" max="5" width="18.796875" style="11" customWidth="1"/>
    <col min="6" max="6" width="11.796875" style="11" customWidth="1"/>
    <col min="7" max="7" width="13.296875" style="11" bestFit="1" customWidth="1"/>
    <col min="8" max="8" width="9.296875" style="11"/>
    <col min="9" max="9" width="18" style="11" bestFit="1" customWidth="1"/>
    <col min="10" max="16384" width="9.296875" style="11"/>
  </cols>
  <sheetData>
    <row r="1" spans="1:9" s="205" customFormat="1" ht="25" customHeight="1" x14ac:dyDescent="0.3">
      <c r="A1" s="205" t="s">
        <v>509</v>
      </c>
    </row>
    <row r="2" spans="1:9" ht="24.75" customHeight="1" x14ac:dyDescent="0.3">
      <c r="A2" s="63" t="s">
        <v>510</v>
      </c>
      <c r="D2" s="124"/>
    </row>
    <row r="3" spans="1:9" ht="13.5" thickBot="1" x14ac:dyDescent="0.35">
      <c r="A3" s="144"/>
      <c r="D3" s="124"/>
      <c r="H3" s="144"/>
    </row>
    <row r="4" spans="1:9" s="67" customFormat="1" ht="36.75" customHeight="1" x14ac:dyDescent="0.3">
      <c r="A4" s="145" t="s">
        <v>30</v>
      </c>
      <c r="B4" s="146" t="s">
        <v>137</v>
      </c>
      <c r="C4" s="147" t="s">
        <v>491</v>
      </c>
      <c r="D4" s="147" t="s">
        <v>492</v>
      </c>
      <c r="E4" s="147" t="s">
        <v>493</v>
      </c>
      <c r="F4" s="148"/>
    </row>
    <row r="5" spans="1:9" s="67" customFormat="1" ht="15" customHeight="1" x14ac:dyDescent="0.3">
      <c r="A5" s="149" t="s">
        <v>33</v>
      </c>
      <c r="B5" s="150" t="s">
        <v>11</v>
      </c>
      <c r="C5" s="151">
        <f>2681/1000000</f>
        <v>2.6809999999999998E-3</v>
      </c>
      <c r="D5" s="151">
        <f>0.133/1000000</f>
        <v>1.3300000000000001E-7</v>
      </c>
      <c r="E5" s="151">
        <f>0.4/1000000</f>
        <v>4.0000000000000003E-7</v>
      </c>
      <c r="F5" s="152"/>
    </row>
    <row r="6" spans="1:9" s="67" customFormat="1" ht="15" customHeight="1" x14ac:dyDescent="0.3">
      <c r="A6" s="149" t="s">
        <v>195</v>
      </c>
      <c r="B6" s="702" t="s">
        <v>427</v>
      </c>
      <c r="C6" s="151">
        <f>1539/1000000</f>
        <v>1.539E-3</v>
      </c>
      <c r="D6" s="151">
        <f>4.12/1000000</f>
        <v>4.1200000000000004E-6</v>
      </c>
      <c r="E6" s="151">
        <f>0.059/1000000</f>
        <v>5.8999999999999999E-8</v>
      </c>
      <c r="F6" s="152"/>
    </row>
    <row r="7" spans="1:9" s="67" customFormat="1" ht="15" customHeight="1" x14ac:dyDescent="0.3">
      <c r="A7" s="149" t="s">
        <v>19</v>
      </c>
      <c r="B7" s="150" t="s">
        <v>115</v>
      </c>
      <c r="C7" s="151">
        <f>1.7/1000000</f>
        <v>1.7E-6</v>
      </c>
      <c r="D7" s="151">
        <v>0</v>
      </c>
      <c r="E7" s="151">
        <v>0</v>
      </c>
      <c r="F7" s="153" t="s">
        <v>116</v>
      </c>
      <c r="G7" s="67">
        <f>electco2+electch4*21+electn2o*310</f>
        <v>1.7E-6</v>
      </c>
      <c r="I7" s="154">
        <f>18.52*1000/G7</f>
        <v>10894117647.058823</v>
      </c>
    </row>
    <row r="8" spans="1:9" s="67" customFormat="1" ht="15" customHeight="1" x14ac:dyDescent="0.3">
      <c r="A8" s="149" t="s">
        <v>21</v>
      </c>
      <c r="B8" s="150" t="s">
        <v>11</v>
      </c>
      <c r="C8" s="151">
        <f>2753/1000000</f>
        <v>2.7529999999999998E-3</v>
      </c>
      <c r="D8" s="151">
        <f>0.026/1000/1000</f>
        <v>2.5999999999999998E-8</v>
      </c>
      <c r="E8" s="151">
        <f>0.031/1000/1000</f>
        <v>3.1E-8</v>
      </c>
      <c r="F8" s="153"/>
    </row>
    <row r="9" spans="1:9" s="67" customFormat="1" ht="15" customHeight="1" x14ac:dyDescent="0.3">
      <c r="A9" s="149" t="s">
        <v>31</v>
      </c>
      <c r="B9" s="150" t="s">
        <v>11</v>
      </c>
      <c r="C9" s="151">
        <f>3156/1000000</f>
        <v>3.156E-3</v>
      </c>
      <c r="D9" s="151">
        <f>0.057/1000/1000</f>
        <v>5.7000000000000001E-8</v>
      </c>
      <c r="E9" s="151">
        <f>0.064/1000000</f>
        <v>6.4000000000000004E-8</v>
      </c>
      <c r="F9" s="153"/>
    </row>
    <row r="10" spans="1:9" s="67" customFormat="1" ht="15" customHeight="1" x14ac:dyDescent="0.3">
      <c r="A10" s="149" t="s">
        <v>32</v>
      </c>
      <c r="B10" s="150" t="s">
        <v>11</v>
      </c>
      <c r="C10" s="151">
        <f>2560/1000000</f>
        <v>2.5600000000000002E-3</v>
      </c>
      <c r="D10" s="151">
        <f>0.026/1000000</f>
        <v>2.5999999999999998E-8</v>
      </c>
      <c r="E10" s="151">
        <f>0.031/1000000</f>
        <v>3.1E-8</v>
      </c>
      <c r="F10" s="153"/>
    </row>
    <row r="11" spans="1:9" s="67" customFormat="1" ht="15" customHeight="1" x14ac:dyDescent="0.3">
      <c r="A11" s="149" t="s">
        <v>20</v>
      </c>
      <c r="B11" s="150" t="s">
        <v>29</v>
      </c>
      <c r="C11" s="151">
        <f>1887/1000000</f>
        <v>1.887E-3</v>
      </c>
      <c r="D11" s="151">
        <f>0.037/1000000</f>
        <v>3.7E-8</v>
      </c>
      <c r="E11" s="151">
        <f>0.035/1000000</f>
        <v>3.5000000000000002E-8</v>
      </c>
      <c r="F11" s="153"/>
      <c r="G11" s="67">
        <f>natgasco2+natgasn2o*21+natgasch4*310</f>
        <v>1.898627E-3</v>
      </c>
      <c r="I11" s="154">
        <f>155.77*1000/C11</f>
        <v>82549019.607843131</v>
      </c>
    </row>
    <row r="12" spans="1:9" s="67" customFormat="1" ht="15" customHeight="1" x14ac:dyDescent="0.3">
      <c r="A12" s="149" t="s">
        <v>13</v>
      </c>
      <c r="B12" s="150" t="s">
        <v>11</v>
      </c>
      <c r="C12" s="151">
        <f>1515/1000000</f>
        <v>1.5150000000000001E-3</v>
      </c>
      <c r="D12" s="151">
        <f>0.027/1000000</f>
        <v>2.7E-8</v>
      </c>
      <c r="E12" s="151">
        <f>0.108/1000000</f>
        <v>1.08E-7</v>
      </c>
      <c r="F12" s="153"/>
      <c r="I12" s="154">
        <f>152.72*1000/natgasco2</f>
        <v>80932697.403285637</v>
      </c>
    </row>
    <row r="13" spans="1:9" s="67" customFormat="1" ht="29.25" customHeight="1" x14ac:dyDescent="0.3">
      <c r="A13" s="155" t="s">
        <v>30</v>
      </c>
      <c r="B13" s="156" t="s">
        <v>28</v>
      </c>
      <c r="C13" s="157" t="s">
        <v>491</v>
      </c>
      <c r="D13" s="157" t="s">
        <v>492</v>
      </c>
      <c r="E13" s="157" t="s">
        <v>493</v>
      </c>
      <c r="F13" s="158"/>
    </row>
    <row r="14" spans="1:9" s="67" customFormat="1" ht="15" customHeight="1" x14ac:dyDescent="0.3">
      <c r="A14" s="66" t="s">
        <v>613</v>
      </c>
      <c r="B14" s="390" t="s">
        <v>11</v>
      </c>
      <c r="C14" s="392">
        <f>2307/1000000</f>
        <v>2.307E-3</v>
      </c>
      <c r="D14" s="159">
        <f>0.14/1000000</f>
        <v>1.4000000000000001E-7</v>
      </c>
      <c r="E14" s="160">
        <f>0.022/1000000</f>
        <v>2.1999999999999998E-8</v>
      </c>
      <c r="F14" s="152" t="s">
        <v>45</v>
      </c>
    </row>
    <row r="15" spans="1:9" s="67" customFormat="1" ht="15" customHeight="1" x14ac:dyDescent="0.3">
      <c r="A15" s="161" t="s">
        <v>614</v>
      </c>
      <c r="B15" s="134" t="s">
        <v>11</v>
      </c>
      <c r="C15" s="163">
        <f t="shared" ref="C15:C24" si="0">2307/1000000</f>
        <v>2.307E-3</v>
      </c>
      <c r="D15" s="162">
        <f>0.23/1000000</f>
        <v>2.3000000000000002E-7</v>
      </c>
      <c r="E15" s="163">
        <f>0.47/1000000</f>
        <v>4.6999999999999995E-7</v>
      </c>
      <c r="F15" s="158" t="s">
        <v>45</v>
      </c>
    </row>
    <row r="16" spans="1:9" s="67" customFormat="1" ht="15" customHeight="1" x14ac:dyDescent="0.3">
      <c r="A16" s="164" t="s">
        <v>615</v>
      </c>
      <c r="B16" s="391" t="s">
        <v>11</v>
      </c>
      <c r="C16" s="166">
        <f t="shared" si="0"/>
        <v>2.307E-3</v>
      </c>
      <c r="D16" s="165">
        <f>0.32/1000000</f>
        <v>3.2000000000000001E-7</v>
      </c>
      <c r="E16" s="166">
        <f>0.66/1000000</f>
        <v>6.6000000000000003E-7</v>
      </c>
      <c r="F16" s="167" t="s">
        <v>45</v>
      </c>
    </row>
    <row r="17" spans="1:6" s="67" customFormat="1" ht="15" customHeight="1" x14ac:dyDescent="0.3">
      <c r="A17" s="66" t="s">
        <v>616</v>
      </c>
      <c r="B17" s="390" t="s">
        <v>11</v>
      </c>
      <c r="C17" s="392">
        <f t="shared" si="0"/>
        <v>2.307E-3</v>
      </c>
      <c r="D17" s="159">
        <f>0.14/1000000</f>
        <v>1.4000000000000001E-7</v>
      </c>
      <c r="E17" s="160">
        <f>0.022/1000000</f>
        <v>2.1999999999999998E-8</v>
      </c>
      <c r="F17" s="152" t="s">
        <v>45</v>
      </c>
    </row>
    <row r="18" spans="1:6" s="67" customFormat="1" ht="15" customHeight="1" x14ac:dyDescent="0.3">
      <c r="A18" s="161" t="s">
        <v>617</v>
      </c>
      <c r="B18" s="134" t="s">
        <v>11</v>
      </c>
      <c r="C18" s="163">
        <f t="shared" si="0"/>
        <v>2.307E-3</v>
      </c>
      <c r="D18" s="162">
        <f>0.24/1000000</f>
        <v>2.3999999999999998E-7</v>
      </c>
      <c r="E18" s="163">
        <f>0.58/1000000</f>
        <v>5.7999999999999995E-7</v>
      </c>
      <c r="F18" s="158" t="s">
        <v>45</v>
      </c>
    </row>
    <row r="19" spans="1:6" s="67" customFormat="1" ht="15" customHeight="1" x14ac:dyDescent="0.3">
      <c r="A19" s="164" t="s">
        <v>618</v>
      </c>
      <c r="B19" s="391" t="s">
        <v>11</v>
      </c>
      <c r="C19" s="166">
        <f t="shared" si="0"/>
        <v>2.307E-3</v>
      </c>
      <c r="D19" s="165">
        <f>0.21/1000000</f>
        <v>2.1E-7</v>
      </c>
      <c r="E19" s="166">
        <f>0.66/1000000</f>
        <v>6.6000000000000003E-7</v>
      </c>
      <c r="F19" s="167" t="s">
        <v>45</v>
      </c>
    </row>
    <row r="20" spans="1:6" s="67" customFormat="1" ht="15" customHeight="1" x14ac:dyDescent="0.3">
      <c r="A20" s="66" t="s">
        <v>619</v>
      </c>
      <c r="B20" s="390" t="s">
        <v>11</v>
      </c>
      <c r="C20" s="392">
        <f t="shared" si="0"/>
        <v>2.307E-3</v>
      </c>
      <c r="D20" s="159">
        <f>0.068/1000000</f>
        <v>6.8E-8</v>
      </c>
      <c r="E20" s="160">
        <f>0.2/1000000</f>
        <v>2.0000000000000002E-7</v>
      </c>
      <c r="F20" s="152" t="s">
        <v>45</v>
      </c>
    </row>
    <row r="21" spans="1:6" s="67" customFormat="1" ht="15" customHeight="1" x14ac:dyDescent="0.3">
      <c r="A21" s="161" t="s">
        <v>133</v>
      </c>
      <c r="B21" s="134" t="s">
        <v>11</v>
      </c>
      <c r="C21" s="163">
        <f t="shared" si="0"/>
        <v>2.307E-3</v>
      </c>
      <c r="D21" s="162">
        <f>0.29/1000000</f>
        <v>2.8999999999999998E-7</v>
      </c>
      <c r="E21" s="163">
        <f>0.047/1000000</f>
        <v>4.6999999999999997E-8</v>
      </c>
      <c r="F21" s="158" t="s">
        <v>45</v>
      </c>
    </row>
    <row r="22" spans="1:6" s="67" customFormat="1" ht="15" customHeight="1" x14ac:dyDescent="0.3">
      <c r="A22" s="164" t="s">
        <v>134</v>
      </c>
      <c r="B22" s="391" t="s">
        <v>11</v>
      </c>
      <c r="C22" s="166">
        <f t="shared" si="0"/>
        <v>2.307E-3</v>
      </c>
      <c r="D22" s="165">
        <f>0.49/1000000</f>
        <v>4.8999999999999997E-7</v>
      </c>
      <c r="E22" s="166">
        <f>0.084/1000000</f>
        <v>8.4000000000000011E-8</v>
      </c>
      <c r="F22" s="167" t="s">
        <v>45</v>
      </c>
    </row>
    <row r="23" spans="1:6" s="67" customFormat="1" ht="15" customHeight="1" x14ac:dyDescent="0.3">
      <c r="A23" s="161" t="s">
        <v>620</v>
      </c>
      <c r="B23" s="134" t="s">
        <v>11</v>
      </c>
      <c r="C23" s="392">
        <f t="shared" si="0"/>
        <v>2.307E-3</v>
      </c>
      <c r="D23" s="159">
        <f>0.77/1000000</f>
        <v>7.7000000000000004E-7</v>
      </c>
      <c r="E23" s="160">
        <f>0.041/1000000</f>
        <v>4.1000000000000003E-8</v>
      </c>
      <c r="F23" s="158" t="s">
        <v>45</v>
      </c>
    </row>
    <row r="24" spans="1:6" s="67" customFormat="1" ht="15" customHeight="1" x14ac:dyDescent="0.3">
      <c r="A24" s="161" t="s">
        <v>621</v>
      </c>
      <c r="B24" s="134" t="s">
        <v>11</v>
      </c>
      <c r="C24" s="163">
        <f t="shared" si="0"/>
        <v>2.307E-3</v>
      </c>
      <c r="D24" s="165">
        <f>2.3/1000000</f>
        <v>2.3E-6</v>
      </c>
      <c r="E24" s="166">
        <f>0.048/1000000</f>
        <v>4.8E-8</v>
      </c>
      <c r="F24" s="158" t="s">
        <v>45</v>
      </c>
    </row>
    <row r="25" spans="1:6" s="67" customFormat="1" ht="15" customHeight="1" x14ac:dyDescent="0.3">
      <c r="A25" s="66" t="s">
        <v>622</v>
      </c>
      <c r="B25" s="159" t="s">
        <v>11</v>
      </c>
      <c r="C25" s="392">
        <f>2681/1000/1000</f>
        <v>2.6810000000000002E-3</v>
      </c>
      <c r="D25" s="160">
        <f>0.051/1000000</f>
        <v>5.0999999999999993E-8</v>
      </c>
      <c r="E25" s="160">
        <f>0.22/1000000</f>
        <v>2.2000000000000001E-7</v>
      </c>
      <c r="F25" s="152" t="s">
        <v>46</v>
      </c>
    </row>
    <row r="26" spans="1:6" s="67" customFormat="1" ht="15" customHeight="1" x14ac:dyDescent="0.3">
      <c r="A26" s="161" t="s">
        <v>109</v>
      </c>
      <c r="B26" s="162" t="s">
        <v>11</v>
      </c>
      <c r="C26" s="163">
        <f t="shared" ref="C26:C33" si="1">2681/1000/1000</f>
        <v>2.6810000000000002E-3</v>
      </c>
      <c r="D26" s="163">
        <f>0.068/1000000</f>
        <v>6.8E-8</v>
      </c>
      <c r="E26" s="163">
        <f>0.21/1000000</f>
        <v>2.1E-7</v>
      </c>
      <c r="F26" s="158" t="s">
        <v>46</v>
      </c>
    </row>
    <row r="27" spans="1:6" s="67" customFormat="1" ht="15" customHeight="1" x14ac:dyDescent="0.3">
      <c r="A27" s="164" t="s">
        <v>108</v>
      </c>
      <c r="B27" s="165" t="s">
        <v>11</v>
      </c>
      <c r="C27" s="166">
        <f t="shared" si="1"/>
        <v>2.6810000000000002E-3</v>
      </c>
      <c r="D27" s="166">
        <f>0.1/1000000</f>
        <v>1.0000000000000001E-7</v>
      </c>
      <c r="E27" s="166">
        <f>0.16/1000000</f>
        <v>1.6E-7</v>
      </c>
      <c r="F27" s="167" t="s">
        <v>46</v>
      </c>
    </row>
    <row r="28" spans="1:6" s="67" customFormat="1" ht="15" customHeight="1" x14ac:dyDescent="0.3">
      <c r="A28" s="66" t="s">
        <v>623</v>
      </c>
      <c r="B28" s="159" t="s">
        <v>11</v>
      </c>
      <c r="C28" s="392">
        <f t="shared" si="1"/>
        <v>2.6810000000000002E-3</v>
      </c>
      <c r="D28" s="160">
        <f>0.068/1000000</f>
        <v>6.8E-8</v>
      </c>
      <c r="E28" s="160">
        <f>0.22/1000000</f>
        <v>2.2000000000000001E-7</v>
      </c>
      <c r="F28" s="152" t="s">
        <v>46</v>
      </c>
    </row>
    <row r="29" spans="1:6" s="67" customFormat="1" ht="15" customHeight="1" x14ac:dyDescent="0.3">
      <c r="A29" s="161" t="s">
        <v>624</v>
      </c>
      <c r="B29" s="162" t="s">
        <v>11</v>
      </c>
      <c r="C29" s="163">
        <f t="shared" si="1"/>
        <v>2.6810000000000002E-3</v>
      </c>
      <c r="D29" s="163">
        <f>0.068/1000000</f>
        <v>6.8E-8</v>
      </c>
      <c r="E29" s="163">
        <f>0.21/1000000</f>
        <v>2.1E-7</v>
      </c>
      <c r="F29" s="158" t="s">
        <v>46</v>
      </c>
    </row>
    <row r="30" spans="1:6" s="67" customFormat="1" ht="15" customHeight="1" x14ac:dyDescent="0.3">
      <c r="A30" s="164" t="s">
        <v>110</v>
      </c>
      <c r="B30" s="165" t="s">
        <v>11</v>
      </c>
      <c r="C30" s="166">
        <f t="shared" si="1"/>
        <v>2.6810000000000002E-3</v>
      </c>
      <c r="D30" s="166">
        <f>0.085/1000000</f>
        <v>8.5000000000000007E-8</v>
      </c>
      <c r="E30" s="166">
        <f>0.16/1000000</f>
        <v>1.6E-7</v>
      </c>
      <c r="F30" s="167" t="s">
        <v>46</v>
      </c>
    </row>
    <row r="31" spans="1:6" s="67" customFormat="1" ht="15" customHeight="1" x14ac:dyDescent="0.3">
      <c r="A31" s="66" t="s">
        <v>625</v>
      </c>
      <c r="B31" s="159" t="s">
        <v>11</v>
      </c>
      <c r="C31" s="392">
        <f t="shared" si="1"/>
        <v>2.6810000000000002E-3</v>
      </c>
      <c r="D31" s="160">
        <f>0.11/1000000</f>
        <v>1.1000000000000001E-7</v>
      </c>
      <c r="E31" s="160">
        <f>0.151/1000000</f>
        <v>1.5099999999999999E-7</v>
      </c>
      <c r="F31" s="152" t="s">
        <v>46</v>
      </c>
    </row>
    <row r="32" spans="1:6" s="67" customFormat="1" ht="15" customHeight="1" x14ac:dyDescent="0.3">
      <c r="A32" s="161" t="s">
        <v>112</v>
      </c>
      <c r="B32" s="162" t="s">
        <v>11</v>
      </c>
      <c r="C32" s="163">
        <f t="shared" si="1"/>
        <v>2.6810000000000002E-3</v>
      </c>
      <c r="D32" s="163">
        <f>0.14/1000000</f>
        <v>1.4000000000000001E-7</v>
      </c>
      <c r="E32" s="163">
        <f>0.082/1000000</f>
        <v>8.2000000000000006E-8</v>
      </c>
      <c r="F32" s="158" t="s">
        <v>46</v>
      </c>
    </row>
    <row r="33" spans="1:6" s="67" customFormat="1" ht="15" customHeight="1" x14ac:dyDescent="0.3">
      <c r="A33" s="164" t="s">
        <v>111</v>
      </c>
      <c r="B33" s="165" t="s">
        <v>11</v>
      </c>
      <c r="C33" s="166">
        <f t="shared" si="1"/>
        <v>2.6810000000000002E-3</v>
      </c>
      <c r="D33" s="166">
        <f>0.15/1000000</f>
        <v>1.4999999999999999E-7</v>
      </c>
      <c r="E33" s="166">
        <f>0.075/1000000</f>
        <v>7.4999999999999997E-8</v>
      </c>
      <c r="F33" s="167" t="s">
        <v>46</v>
      </c>
    </row>
    <row r="34" spans="1:6" s="67" customFormat="1" ht="15" customHeight="1" x14ac:dyDescent="0.3">
      <c r="A34" s="161" t="s">
        <v>135</v>
      </c>
      <c r="B34" s="162" t="s">
        <v>11</v>
      </c>
      <c r="C34" s="163">
        <f>2307/1000000</f>
        <v>2.307E-3</v>
      </c>
      <c r="D34" s="160">
        <f>10.61/1000000</f>
        <v>1.061E-5</v>
      </c>
      <c r="E34" s="160">
        <f>0.013/1000000</f>
        <v>1.2999999999999999E-8</v>
      </c>
      <c r="F34" s="152" t="s">
        <v>45</v>
      </c>
    </row>
    <row r="35" spans="1:6" s="67" customFormat="1" ht="15" customHeight="1" x14ac:dyDescent="0.3">
      <c r="A35" s="161" t="s">
        <v>91</v>
      </c>
      <c r="B35" s="162" t="s">
        <v>11</v>
      </c>
      <c r="C35" s="163">
        <f>2681/1000000</f>
        <v>2.6809999999999998E-3</v>
      </c>
      <c r="D35" s="163">
        <f>0.073/1000000</f>
        <v>7.2999999999999992E-8</v>
      </c>
      <c r="E35" s="163">
        <f>0.022/1000000</f>
        <v>2.1999999999999998E-8</v>
      </c>
      <c r="F35" s="158" t="s">
        <v>46</v>
      </c>
    </row>
    <row r="36" spans="1:6" s="67" customFormat="1" ht="15" customHeight="1" thickBot="1" x14ac:dyDescent="0.35">
      <c r="A36" s="168" t="s">
        <v>44</v>
      </c>
      <c r="B36" s="169" t="s">
        <v>11</v>
      </c>
      <c r="C36" s="170">
        <f>1515/1000/1000</f>
        <v>1.5149999999999999E-3</v>
      </c>
      <c r="D36" s="170">
        <f>0.64/1000000</f>
        <v>6.4000000000000001E-7</v>
      </c>
      <c r="E36" s="170">
        <f>0.087/1000000</f>
        <v>8.6999999999999998E-8</v>
      </c>
      <c r="F36" s="171" t="s">
        <v>47</v>
      </c>
    </row>
    <row r="37" spans="1:6" s="67" customFormat="1" ht="15" customHeight="1" thickBot="1" x14ac:dyDescent="0.35">
      <c r="A37" s="172" t="s">
        <v>251</v>
      </c>
      <c r="B37" s="173" t="s">
        <v>11</v>
      </c>
      <c r="C37" s="173">
        <f>2681/1000/1000</f>
        <v>2.6810000000000002E-3</v>
      </c>
      <c r="D37" s="173">
        <f>0.15/1000/1000</f>
        <v>1.4999999999999999E-7</v>
      </c>
      <c r="E37" s="173">
        <f>1.1/1000/1000</f>
        <v>1.1000000000000001E-6</v>
      </c>
      <c r="F37" s="174" t="s">
        <v>46</v>
      </c>
    </row>
    <row r="38" spans="1:6" s="67" customFormat="1" ht="15" customHeight="1" x14ac:dyDescent="0.3">
      <c r="A38" s="135"/>
      <c r="B38" s="134"/>
      <c r="C38" s="134"/>
      <c r="D38" s="134"/>
      <c r="E38" s="134"/>
      <c r="F38" s="134"/>
    </row>
    <row r="39" spans="1:6" x14ac:dyDescent="0.3">
      <c r="A39" s="136"/>
    </row>
    <row r="42" spans="1:6" x14ac:dyDescent="0.3">
      <c r="A42" s="63" t="s">
        <v>131</v>
      </c>
    </row>
    <row r="43" spans="1:6" x14ac:dyDescent="0.3">
      <c r="A43" s="63"/>
    </row>
    <row r="44" spans="1:6" x14ac:dyDescent="0.3"/>
    <row r="45" spans="1:6" x14ac:dyDescent="0.3">
      <c r="E45" s="175"/>
    </row>
    <row r="47" spans="1:6" x14ac:dyDescent="0.3">
      <c r="A47" s="11" t="s">
        <v>139</v>
      </c>
      <c r="C47" s="11" t="s">
        <v>140</v>
      </c>
      <c r="E47" s="11">
        <v>0.01</v>
      </c>
      <c r="F47" s="11" t="s">
        <v>92</v>
      </c>
    </row>
    <row r="48" spans="1:6" x14ac:dyDescent="0.3">
      <c r="C48" s="11" t="s">
        <v>141</v>
      </c>
      <c r="E48" s="11">
        <v>0.16</v>
      </c>
      <c r="F48" s="11" t="s">
        <v>34</v>
      </c>
    </row>
    <row r="49" spans="1:6" x14ac:dyDescent="0.3">
      <c r="E49" s="176">
        <f>(69.85*365)/1000</f>
        <v>25.495249999999995</v>
      </c>
      <c r="F49" s="11" t="s">
        <v>403</v>
      </c>
    </row>
    <row r="50" spans="1:6" x14ac:dyDescent="0.3">
      <c r="E50" s="175">
        <f>E49*E47*E48*44/28</f>
        <v>6.4102342857142863E-2</v>
      </c>
      <c r="F50" s="11" t="s">
        <v>35</v>
      </c>
    </row>
    <row r="52" spans="1:6" x14ac:dyDescent="0.3">
      <c r="A52" s="11" t="s">
        <v>142</v>
      </c>
      <c r="C52" s="11" t="s">
        <v>128</v>
      </c>
      <c r="E52" s="11">
        <v>1.6</v>
      </c>
      <c r="F52" s="11" t="s">
        <v>93</v>
      </c>
    </row>
    <row r="53" spans="1:6" x14ac:dyDescent="0.3">
      <c r="A53" s="11" t="s">
        <v>143</v>
      </c>
      <c r="C53" s="11" t="s">
        <v>117</v>
      </c>
      <c r="E53" s="11">
        <v>0.8</v>
      </c>
      <c r="F53" s="11" t="s">
        <v>94</v>
      </c>
    </row>
    <row r="55" spans="1:6" x14ac:dyDescent="0.3">
      <c r="A55" s="11" t="s">
        <v>43</v>
      </c>
      <c r="C55" s="11" t="s">
        <v>38</v>
      </c>
      <c r="E55" s="11">
        <v>0.8</v>
      </c>
      <c r="F55" s="11" t="s">
        <v>118</v>
      </c>
    </row>
    <row r="56" spans="1:6" x14ac:dyDescent="0.3">
      <c r="C56" s="11" t="s">
        <v>38</v>
      </c>
      <c r="E56" s="175">
        <f>44/12*E55</f>
        <v>2.9333333333333336</v>
      </c>
      <c r="F56" s="11" t="s">
        <v>36</v>
      </c>
    </row>
    <row r="57" spans="1:6" x14ac:dyDescent="0.3">
      <c r="C57" s="11" t="s">
        <v>127</v>
      </c>
      <c r="E57" s="11">
        <v>0.1</v>
      </c>
      <c r="F57" s="11" t="s">
        <v>37</v>
      </c>
    </row>
    <row r="58" spans="1:6" x14ac:dyDescent="0.3">
      <c r="E58" s="177">
        <f>E56*E57</f>
        <v>0.29333333333333339</v>
      </c>
      <c r="F58" s="11" t="s">
        <v>39</v>
      </c>
    </row>
    <row r="60" spans="1:6" x14ac:dyDescent="0.3">
      <c r="A60" s="11" t="s">
        <v>42</v>
      </c>
      <c r="C60" s="11" t="s">
        <v>119</v>
      </c>
      <c r="D60" s="966"/>
      <c r="E60" s="11">
        <v>0.14799999999999999</v>
      </c>
      <c r="F60" s="11" t="s">
        <v>40</v>
      </c>
    </row>
    <row r="61" spans="1:6" x14ac:dyDescent="0.3">
      <c r="D61" s="966"/>
      <c r="E61" s="11">
        <f>E60/1000</f>
        <v>1.4799999999999999E-4</v>
      </c>
      <c r="F61" s="11" t="s">
        <v>41</v>
      </c>
    </row>
    <row r="64" spans="1:6" x14ac:dyDescent="0.3">
      <c r="A64" s="178" t="s">
        <v>120</v>
      </c>
      <c r="B64" s="179"/>
    </row>
    <row r="65" spans="1:7" ht="15" x14ac:dyDescent="0.4">
      <c r="A65" s="11" t="s">
        <v>494</v>
      </c>
      <c r="C65" s="11" t="s">
        <v>138</v>
      </c>
      <c r="E65" s="11">
        <v>1.9710000000000001</v>
      </c>
      <c r="F65" s="11" t="s">
        <v>495</v>
      </c>
    </row>
    <row r="71" spans="1:7" x14ac:dyDescent="0.3">
      <c r="A71" s="178" t="s">
        <v>129</v>
      </c>
      <c r="B71" s="178"/>
      <c r="C71" s="178"/>
      <c r="D71" s="180"/>
      <c r="E71" s="180"/>
      <c r="F71" s="181"/>
      <c r="G71" s="181"/>
    </row>
    <row r="72" spans="1:7" x14ac:dyDescent="0.3">
      <c r="A72" s="178"/>
      <c r="B72" s="178"/>
      <c r="C72" s="178"/>
      <c r="D72" s="180"/>
      <c r="G72" s="181"/>
    </row>
    <row r="73" spans="1:7" x14ac:dyDescent="0.3">
      <c r="A73" s="178" t="s">
        <v>12</v>
      </c>
      <c r="B73" s="11">
        <v>28.83</v>
      </c>
      <c r="C73" s="178"/>
      <c r="D73" s="180"/>
      <c r="G73" s="181"/>
    </row>
    <row r="74" spans="1:7" x14ac:dyDescent="0.3">
      <c r="A74" s="178" t="s">
        <v>98</v>
      </c>
      <c r="B74" s="11">
        <v>37.200000000000003</v>
      </c>
      <c r="C74" s="178"/>
      <c r="D74" s="180"/>
      <c r="G74" s="181"/>
    </row>
    <row r="75" spans="1:7" x14ac:dyDescent="0.3">
      <c r="A75" s="178" t="s">
        <v>13</v>
      </c>
      <c r="B75" s="11">
        <v>25.53</v>
      </c>
      <c r="C75" s="178"/>
      <c r="D75" s="180"/>
      <c r="G75" s="181"/>
    </row>
    <row r="76" spans="1:7" x14ac:dyDescent="0.3">
      <c r="A76" s="178" t="s">
        <v>99</v>
      </c>
      <c r="B76" s="11">
        <v>38.68</v>
      </c>
      <c r="C76" s="178"/>
      <c r="D76" s="180"/>
      <c r="G76" s="181"/>
    </row>
    <row r="77" spans="1:7" x14ac:dyDescent="0.3">
      <c r="A77" s="178" t="s">
        <v>100</v>
      </c>
      <c r="C77" s="178"/>
      <c r="D77" s="180"/>
      <c r="G77" s="181"/>
    </row>
    <row r="78" spans="1:7" x14ac:dyDescent="0.3">
      <c r="A78" s="178" t="s">
        <v>101</v>
      </c>
      <c r="B78" s="11">
        <v>42.3</v>
      </c>
      <c r="C78" s="178"/>
      <c r="D78" s="180"/>
      <c r="G78" s="181"/>
    </row>
    <row r="79" spans="1:7" x14ac:dyDescent="0.3">
      <c r="A79" s="178" t="s">
        <v>102</v>
      </c>
      <c r="B79" s="11">
        <v>40.5</v>
      </c>
      <c r="C79" s="178"/>
      <c r="D79" s="180"/>
      <c r="G79" s="181"/>
    </row>
    <row r="80" spans="1:7" x14ac:dyDescent="0.3">
      <c r="A80" s="178" t="s">
        <v>103</v>
      </c>
      <c r="C80" s="178"/>
      <c r="D80" s="180"/>
      <c r="G80" s="181"/>
    </row>
    <row r="81" spans="1:7" x14ac:dyDescent="0.3">
      <c r="A81" s="178" t="s">
        <v>104</v>
      </c>
      <c r="B81" s="11">
        <v>25.53</v>
      </c>
      <c r="C81" s="178"/>
      <c r="D81" s="180"/>
      <c r="G81" s="181"/>
    </row>
    <row r="82" spans="1:7" x14ac:dyDescent="0.3">
      <c r="A82" s="62"/>
      <c r="B82" s="62"/>
      <c r="C82" s="180"/>
      <c r="D82" s="180"/>
      <c r="E82" s="180"/>
      <c r="F82" s="181"/>
      <c r="G82" s="181"/>
    </row>
    <row r="83" spans="1:7" x14ac:dyDescent="0.3">
      <c r="A83" s="178" t="s">
        <v>130</v>
      </c>
      <c r="B83" s="62"/>
      <c r="C83" s="180"/>
      <c r="D83" s="180"/>
      <c r="E83" s="180"/>
      <c r="F83" s="181"/>
      <c r="G83" s="181"/>
    </row>
    <row r="84" spans="1:7" x14ac:dyDescent="0.3">
      <c r="A84" s="178"/>
      <c r="C84" s="180"/>
      <c r="D84" s="180"/>
      <c r="E84" s="180"/>
      <c r="F84" s="181"/>
      <c r="G84" s="181"/>
    </row>
    <row r="85" spans="1:7" x14ac:dyDescent="0.3">
      <c r="A85" s="178" t="s">
        <v>22</v>
      </c>
      <c r="B85" s="11">
        <v>36.200000000000003</v>
      </c>
      <c r="C85" s="180"/>
      <c r="D85" s="180"/>
      <c r="E85" s="180"/>
      <c r="F85" s="181"/>
      <c r="G85" s="181"/>
    </row>
    <row r="86" spans="1:7" x14ac:dyDescent="0.3">
      <c r="A86" s="178" t="s">
        <v>105</v>
      </c>
      <c r="B86" s="11">
        <v>36.700000000000003</v>
      </c>
      <c r="C86" s="180"/>
      <c r="D86" s="180"/>
      <c r="E86" s="180"/>
      <c r="F86" s="181"/>
      <c r="G86" s="181"/>
    </row>
    <row r="87" spans="1:7" x14ac:dyDescent="0.3">
      <c r="A87" s="967" t="s">
        <v>106</v>
      </c>
      <c r="B87" s="967"/>
      <c r="C87" s="967"/>
      <c r="D87" s="967"/>
      <c r="E87" s="967"/>
      <c r="F87" s="967"/>
      <c r="G87" s="967"/>
    </row>
    <row r="89" spans="1:7" x14ac:dyDescent="0.3">
      <c r="A89" s="178" t="s">
        <v>132</v>
      </c>
      <c r="B89" s="62"/>
      <c r="C89" s="180"/>
      <c r="D89" s="180"/>
      <c r="E89" s="180"/>
      <c r="F89" s="181"/>
      <c r="G89" s="181"/>
    </row>
    <row r="90" spans="1:7" x14ac:dyDescent="0.3">
      <c r="A90" s="178"/>
      <c r="C90" s="180"/>
      <c r="D90" s="180"/>
      <c r="E90" s="180"/>
      <c r="F90" s="181"/>
      <c r="G90" s="181"/>
    </row>
    <row r="91" spans="1:7" x14ac:dyDescent="0.3">
      <c r="A91" s="178" t="s">
        <v>19</v>
      </c>
      <c r="B91" s="11">
        <v>3.6</v>
      </c>
      <c r="C91" s="180"/>
      <c r="D91" s="180"/>
      <c r="E91" s="180"/>
      <c r="F91" s="181"/>
      <c r="G91" s="181"/>
    </row>
    <row r="92" spans="1:7" x14ac:dyDescent="0.3">
      <c r="A92" s="178"/>
      <c r="C92" s="180"/>
      <c r="D92" s="180"/>
      <c r="E92" s="180"/>
      <c r="F92" s="181"/>
      <c r="G92" s="181"/>
    </row>
    <row r="93" spans="1:7" x14ac:dyDescent="0.3">
      <c r="A93" s="62"/>
      <c r="B93" s="62"/>
      <c r="C93" s="180"/>
      <c r="D93" s="180"/>
      <c r="E93" s="180"/>
      <c r="F93" s="181"/>
      <c r="G93" s="181"/>
    </row>
    <row r="94" spans="1:7" ht="17.25" customHeight="1" x14ac:dyDescent="0.3">
      <c r="A94" s="63" t="s">
        <v>219</v>
      </c>
      <c r="B94" s="62"/>
      <c r="C94" s="62"/>
      <c r="D94" s="62"/>
      <c r="E94" s="62"/>
      <c r="F94" s="62"/>
      <c r="G94" s="62"/>
    </row>
    <row r="95" spans="1:7" x14ac:dyDescent="0.3">
      <c r="A95" s="62"/>
      <c r="B95" s="62"/>
      <c r="C95" s="62"/>
      <c r="D95" s="62"/>
      <c r="E95" s="62"/>
      <c r="F95" s="62"/>
      <c r="G95" s="62"/>
    </row>
    <row r="96" spans="1:7" x14ac:dyDescent="0.3">
      <c r="A96" s="63" t="s">
        <v>401</v>
      </c>
    </row>
    <row r="97" spans="1:5" x14ac:dyDescent="0.3">
      <c r="A97" s="63" t="s">
        <v>665</v>
      </c>
    </row>
    <row r="99" spans="1:5" x14ac:dyDescent="0.3">
      <c r="A99" s="182" t="s">
        <v>220</v>
      </c>
      <c r="B99" s="183" t="s">
        <v>218</v>
      </c>
      <c r="C99" s="183" t="s">
        <v>223</v>
      </c>
      <c r="D99" s="183" t="s">
        <v>224</v>
      </c>
      <c r="E99" s="183" t="s">
        <v>244</v>
      </c>
    </row>
    <row r="100" spans="1:5" x14ac:dyDescent="0.3">
      <c r="A100" s="965" t="s">
        <v>225</v>
      </c>
      <c r="B100" s="965"/>
      <c r="C100" s="965"/>
      <c r="D100" s="965"/>
      <c r="E100" s="965"/>
    </row>
    <row r="101" spans="1:5" x14ac:dyDescent="0.3">
      <c r="A101" s="140" t="s">
        <v>221</v>
      </c>
      <c r="B101" s="140">
        <v>5470</v>
      </c>
      <c r="C101" s="140">
        <v>1</v>
      </c>
      <c r="D101" s="140">
        <v>0.2</v>
      </c>
      <c r="E101" s="184">
        <f t="shared" ref="E101:E127" si="2">B101+C101*PRPCH4+D101*PRPN2O</f>
        <v>5554.6</v>
      </c>
    </row>
    <row r="102" spans="1:5" x14ac:dyDescent="0.3">
      <c r="A102" s="140" t="s">
        <v>222</v>
      </c>
      <c r="B102" s="140">
        <v>4900</v>
      </c>
      <c r="C102" s="140">
        <v>0.4</v>
      </c>
      <c r="D102" s="140">
        <v>0.2</v>
      </c>
      <c r="E102" s="184">
        <f t="shared" si="2"/>
        <v>4969.6000000000004</v>
      </c>
    </row>
    <row r="103" spans="1:5" x14ac:dyDescent="0.3">
      <c r="A103" s="140" t="s">
        <v>226</v>
      </c>
      <c r="B103" s="140">
        <v>2560</v>
      </c>
      <c r="C103" s="140">
        <v>0.04</v>
      </c>
      <c r="D103" s="140">
        <v>0.1</v>
      </c>
      <c r="E103" s="184">
        <f t="shared" si="2"/>
        <v>2590.8000000000002</v>
      </c>
    </row>
    <row r="104" spans="1:5" x14ac:dyDescent="0.3">
      <c r="A104" s="140" t="s">
        <v>639</v>
      </c>
      <c r="B104" s="140">
        <v>2150</v>
      </c>
      <c r="C104" s="140">
        <v>6.8</v>
      </c>
      <c r="D104" s="140">
        <v>0.1</v>
      </c>
      <c r="E104" s="184">
        <f t="shared" si="2"/>
        <v>2349.8000000000002</v>
      </c>
    </row>
    <row r="105" spans="1:5" x14ac:dyDescent="0.3">
      <c r="A105" s="140" t="s">
        <v>640</v>
      </c>
      <c r="B105" s="140">
        <v>1800</v>
      </c>
      <c r="C105" s="140">
        <v>0.16</v>
      </c>
      <c r="D105" s="140">
        <v>0.1</v>
      </c>
      <c r="E105" s="184">
        <f t="shared" si="2"/>
        <v>1833.8</v>
      </c>
    </row>
    <row r="106" spans="1:5" x14ac:dyDescent="0.3">
      <c r="A106" s="140" t="s">
        <v>641</v>
      </c>
      <c r="B106" s="140">
        <v>5880</v>
      </c>
      <c r="C106" s="140">
        <v>9.8000000000000007</v>
      </c>
      <c r="D106" s="140">
        <v>0.2</v>
      </c>
      <c r="E106" s="184">
        <f t="shared" si="2"/>
        <v>6184.6</v>
      </c>
    </row>
    <row r="107" spans="1:5" x14ac:dyDescent="0.3">
      <c r="A107" s="140" t="s">
        <v>642</v>
      </c>
      <c r="B107" s="140">
        <v>4455</v>
      </c>
      <c r="C107" s="140">
        <v>0.3</v>
      </c>
      <c r="D107" s="140">
        <v>0.1</v>
      </c>
      <c r="E107" s="184">
        <f t="shared" si="2"/>
        <v>4492.3</v>
      </c>
    </row>
    <row r="108" spans="1:5" x14ac:dyDescent="0.3">
      <c r="A108" s="140" t="s">
        <v>643</v>
      </c>
      <c r="B108" s="140">
        <v>3980</v>
      </c>
      <c r="C108" s="140">
        <v>0.7</v>
      </c>
      <c r="D108" s="140">
        <v>0.1</v>
      </c>
      <c r="E108" s="184">
        <f t="shared" si="2"/>
        <v>4027.3</v>
      </c>
    </row>
    <row r="109" spans="1:5" x14ac:dyDescent="0.3">
      <c r="A109" s="185" t="s">
        <v>644</v>
      </c>
      <c r="B109" s="140">
        <v>2905</v>
      </c>
      <c r="C109" s="140">
        <v>0.2</v>
      </c>
      <c r="D109" s="140">
        <v>0.1</v>
      </c>
      <c r="E109" s="184">
        <f t="shared" si="2"/>
        <v>2939.8</v>
      </c>
    </row>
    <row r="110" spans="1:5" x14ac:dyDescent="0.3">
      <c r="A110" s="185" t="s">
        <v>645</v>
      </c>
      <c r="B110" s="140">
        <v>2750</v>
      </c>
      <c r="C110" s="140">
        <v>0.5</v>
      </c>
      <c r="D110" s="140">
        <v>0.1</v>
      </c>
      <c r="E110" s="184">
        <f t="shared" si="2"/>
        <v>2792.3</v>
      </c>
    </row>
    <row r="111" spans="1:5" x14ac:dyDescent="0.3">
      <c r="A111" s="140" t="s">
        <v>646</v>
      </c>
      <c r="B111" s="140">
        <v>2625</v>
      </c>
      <c r="C111" s="140">
        <v>0.08</v>
      </c>
      <c r="D111" s="140">
        <v>0.1</v>
      </c>
      <c r="E111" s="184">
        <f t="shared" si="2"/>
        <v>2656.8</v>
      </c>
    </row>
    <row r="112" spans="1:5" x14ac:dyDescent="0.3">
      <c r="A112" s="140" t="s">
        <v>647</v>
      </c>
      <c r="B112" s="140">
        <v>10680</v>
      </c>
      <c r="C112" s="140">
        <v>3.6</v>
      </c>
      <c r="D112" s="140">
        <v>0.3</v>
      </c>
      <c r="E112" s="184">
        <f t="shared" si="2"/>
        <v>10859.4</v>
      </c>
    </row>
    <row r="113" spans="1:5" x14ac:dyDescent="0.3">
      <c r="A113" s="140" t="s">
        <v>648</v>
      </c>
      <c r="B113" s="140">
        <v>10145</v>
      </c>
      <c r="C113" s="140">
        <v>4.8</v>
      </c>
      <c r="D113" s="140">
        <v>0.3</v>
      </c>
      <c r="E113" s="184">
        <f t="shared" si="2"/>
        <v>10354.4</v>
      </c>
    </row>
    <row r="114" spans="1:5" x14ac:dyDescent="0.3">
      <c r="A114" s="140" t="s">
        <v>649</v>
      </c>
      <c r="B114" s="140">
        <v>10710</v>
      </c>
      <c r="C114" s="140">
        <v>1.2</v>
      </c>
      <c r="D114" s="140">
        <v>0.3</v>
      </c>
      <c r="E114" s="184">
        <f t="shared" si="2"/>
        <v>10829.4</v>
      </c>
    </row>
    <row r="115" spans="1:5" x14ac:dyDescent="0.3">
      <c r="A115" s="140" t="s">
        <v>650</v>
      </c>
      <c r="B115" s="140">
        <v>4110</v>
      </c>
      <c r="C115" s="140">
        <v>0.1</v>
      </c>
      <c r="D115" s="140">
        <v>0.1</v>
      </c>
      <c r="E115" s="184">
        <f t="shared" si="2"/>
        <v>4142.3</v>
      </c>
    </row>
    <row r="116" spans="1:5" x14ac:dyDescent="0.3">
      <c r="A116" s="140" t="s">
        <v>651</v>
      </c>
      <c r="B116" s="140">
        <v>5405</v>
      </c>
      <c r="C116" s="140">
        <v>0.4</v>
      </c>
      <c r="D116" s="140">
        <v>0.2</v>
      </c>
      <c r="E116" s="184">
        <f t="shared" si="2"/>
        <v>5474.6</v>
      </c>
    </row>
    <row r="117" spans="1:5" x14ac:dyDescent="0.3">
      <c r="A117" s="140" t="s">
        <v>652</v>
      </c>
      <c r="B117" s="140">
        <v>2655</v>
      </c>
      <c r="C117" s="140">
        <v>0.5</v>
      </c>
      <c r="D117" s="140">
        <v>0.1</v>
      </c>
      <c r="E117" s="184">
        <f t="shared" si="2"/>
        <v>2697.3</v>
      </c>
    </row>
    <row r="118" spans="1:5" x14ac:dyDescent="0.3">
      <c r="A118" s="140" t="s">
        <v>653</v>
      </c>
      <c r="B118" s="140">
        <v>5890</v>
      </c>
      <c r="C118" s="140">
        <v>5.8</v>
      </c>
      <c r="D118" s="140">
        <v>0.2</v>
      </c>
      <c r="E118" s="184">
        <f t="shared" si="2"/>
        <v>6094.6</v>
      </c>
    </row>
    <row r="119" spans="1:5" x14ac:dyDescent="0.3">
      <c r="A119" s="140" t="s">
        <v>654</v>
      </c>
      <c r="B119" s="140">
        <v>2780</v>
      </c>
      <c r="C119" s="140">
        <v>0.8</v>
      </c>
      <c r="D119" s="140">
        <v>0.1</v>
      </c>
      <c r="E119" s="184">
        <f t="shared" si="2"/>
        <v>2829.8</v>
      </c>
    </row>
    <row r="120" spans="1:5" x14ac:dyDescent="0.3">
      <c r="A120" s="140" t="s">
        <v>655</v>
      </c>
      <c r="B120" s="140">
        <v>7460</v>
      </c>
      <c r="C120" s="140">
        <v>2.1</v>
      </c>
      <c r="D120" s="140">
        <v>0.2</v>
      </c>
      <c r="E120" s="184">
        <f t="shared" si="2"/>
        <v>7572.1</v>
      </c>
    </row>
    <row r="121" spans="1:5" x14ac:dyDescent="0.3">
      <c r="A121" s="140" t="s">
        <v>656</v>
      </c>
      <c r="B121" s="140">
        <v>2115</v>
      </c>
      <c r="C121" s="140">
        <v>5.5</v>
      </c>
      <c r="D121" s="140">
        <v>0.1</v>
      </c>
      <c r="E121" s="184">
        <f t="shared" si="2"/>
        <v>2282.3000000000002</v>
      </c>
    </row>
    <row r="122" spans="1:5" x14ac:dyDescent="0.3">
      <c r="A122" s="140" t="s">
        <v>657</v>
      </c>
      <c r="B122" s="140">
        <v>2340</v>
      </c>
      <c r="C122" s="140">
        <v>0.2</v>
      </c>
      <c r="D122" s="140">
        <v>0.1</v>
      </c>
      <c r="E122" s="184">
        <f t="shared" si="2"/>
        <v>2374.8000000000002</v>
      </c>
    </row>
    <row r="123" spans="1:5" x14ac:dyDescent="0.3">
      <c r="A123" s="140" t="s">
        <v>658</v>
      </c>
      <c r="B123" s="140">
        <v>8025</v>
      </c>
      <c r="C123" s="140">
        <v>7.3</v>
      </c>
      <c r="D123" s="140">
        <v>0.3</v>
      </c>
      <c r="E123" s="184">
        <f t="shared" si="2"/>
        <v>8296.9</v>
      </c>
    </row>
    <row r="124" spans="1:5" x14ac:dyDescent="0.3">
      <c r="A124" s="140" t="s">
        <v>659</v>
      </c>
      <c r="B124" s="140">
        <v>945</v>
      </c>
      <c r="C124" s="140">
        <v>1.4</v>
      </c>
      <c r="D124" s="140">
        <v>0.03</v>
      </c>
      <c r="E124" s="184">
        <f t="shared" si="2"/>
        <v>988.94</v>
      </c>
    </row>
    <row r="125" spans="1:5" x14ac:dyDescent="0.3">
      <c r="A125" s="140" t="s">
        <v>660</v>
      </c>
      <c r="B125" s="140">
        <v>6920</v>
      </c>
      <c r="C125" s="140">
        <v>8.3000000000000007</v>
      </c>
      <c r="D125" s="140">
        <v>0.2</v>
      </c>
      <c r="E125" s="184">
        <f t="shared" si="2"/>
        <v>7187.1</v>
      </c>
    </row>
    <row r="126" spans="1:5" x14ac:dyDescent="0.3">
      <c r="A126" s="140" t="s">
        <v>661</v>
      </c>
      <c r="B126" s="140">
        <v>20290</v>
      </c>
      <c r="C126" s="140">
        <v>10.7</v>
      </c>
      <c r="D126" s="140">
        <v>0.6</v>
      </c>
      <c r="E126" s="184">
        <f t="shared" si="2"/>
        <v>20736.3</v>
      </c>
    </row>
    <row r="127" spans="1:5" x14ac:dyDescent="0.3">
      <c r="A127" s="140" t="s">
        <v>662</v>
      </c>
      <c r="B127" s="140">
        <v>2150</v>
      </c>
      <c r="C127" s="140">
        <v>0.1</v>
      </c>
      <c r="D127" s="140">
        <v>0.1</v>
      </c>
      <c r="E127" s="184">
        <f t="shared" si="2"/>
        <v>2182.3000000000002</v>
      </c>
    </row>
    <row r="128" spans="1:5" x14ac:dyDescent="0.3">
      <c r="A128" s="965" t="s">
        <v>227</v>
      </c>
      <c r="B128" s="965"/>
      <c r="C128" s="965"/>
      <c r="D128" s="965"/>
      <c r="E128" s="965"/>
    </row>
    <row r="129" spans="1:5" x14ac:dyDescent="0.3">
      <c r="A129" s="140" t="s">
        <v>228</v>
      </c>
      <c r="B129" s="140">
        <v>1910</v>
      </c>
      <c r="C129" s="140">
        <v>0.13</v>
      </c>
      <c r="D129" s="140">
        <v>0.1</v>
      </c>
      <c r="E129" s="184">
        <f t="shared" ref="E129:E138" si="3">B129+C129*PRPCH4+D129*PRPN2O</f>
        <v>1943.05</v>
      </c>
    </row>
    <row r="130" spans="1:5" x14ac:dyDescent="0.3">
      <c r="A130" s="140" t="s">
        <v>229</v>
      </c>
      <c r="B130" s="140">
        <v>1800</v>
      </c>
      <c r="C130" s="140">
        <v>0.14000000000000001</v>
      </c>
      <c r="D130" s="140">
        <v>0.1</v>
      </c>
      <c r="E130" s="184">
        <f t="shared" si="3"/>
        <v>1833.3</v>
      </c>
    </row>
    <row r="131" spans="1:5" x14ac:dyDescent="0.3">
      <c r="A131" s="140" t="s">
        <v>230</v>
      </c>
      <c r="B131" s="140">
        <v>1060</v>
      </c>
      <c r="C131" s="140">
        <v>0.06</v>
      </c>
      <c r="D131" s="140">
        <v>0.03</v>
      </c>
      <c r="E131" s="184">
        <f t="shared" si="3"/>
        <v>1070.44</v>
      </c>
    </row>
    <row r="132" spans="1:5" x14ac:dyDescent="0.3">
      <c r="A132" s="140" t="s">
        <v>231</v>
      </c>
      <c r="B132" s="140">
        <v>990</v>
      </c>
      <c r="C132" s="140">
        <v>0.06</v>
      </c>
      <c r="D132" s="140">
        <v>0.03</v>
      </c>
      <c r="E132" s="184">
        <f t="shared" si="3"/>
        <v>1000.44</v>
      </c>
    </row>
    <row r="133" spans="1:5" x14ac:dyDescent="0.3">
      <c r="A133" s="140" t="s">
        <v>232</v>
      </c>
      <c r="B133" s="140">
        <v>2390</v>
      </c>
      <c r="C133" s="140">
        <v>0.14000000000000001</v>
      </c>
      <c r="D133" s="140">
        <v>0.1</v>
      </c>
      <c r="E133" s="184">
        <f t="shared" si="3"/>
        <v>2423.3000000000002</v>
      </c>
    </row>
    <row r="134" spans="1:5" x14ac:dyDescent="0.3">
      <c r="A134" s="140" t="s">
        <v>233</v>
      </c>
      <c r="B134" s="140">
        <v>2520</v>
      </c>
      <c r="C134" s="140">
        <v>0.15</v>
      </c>
      <c r="D134" s="140">
        <v>0.1</v>
      </c>
      <c r="E134" s="184">
        <f t="shared" si="3"/>
        <v>2553.5500000000002</v>
      </c>
    </row>
    <row r="135" spans="1:5" x14ac:dyDescent="0.3">
      <c r="A135" s="140" t="s">
        <v>234</v>
      </c>
      <c r="B135" s="140">
        <v>870</v>
      </c>
      <c r="C135" s="140">
        <v>0.06</v>
      </c>
      <c r="D135" s="140">
        <v>0.03</v>
      </c>
      <c r="E135" s="184">
        <f t="shared" si="3"/>
        <v>880.44</v>
      </c>
    </row>
    <row r="136" spans="1:5" x14ac:dyDescent="0.3">
      <c r="A136" s="140" t="s">
        <v>235</v>
      </c>
      <c r="B136" s="140">
        <v>2160</v>
      </c>
      <c r="C136" s="140">
        <v>0.14000000000000001</v>
      </c>
      <c r="D136" s="140">
        <v>0.1</v>
      </c>
      <c r="E136" s="184">
        <f t="shared" si="3"/>
        <v>2193.3000000000002</v>
      </c>
    </row>
    <row r="137" spans="1:5" x14ac:dyDescent="0.3">
      <c r="A137" s="140" t="s">
        <v>236</v>
      </c>
      <c r="B137" s="140">
        <v>1890</v>
      </c>
      <c r="C137" s="140">
        <v>0.03</v>
      </c>
      <c r="D137" s="140">
        <v>0.1</v>
      </c>
      <c r="E137" s="184">
        <f t="shared" si="3"/>
        <v>1920.55</v>
      </c>
    </row>
    <row r="138" spans="1:5" x14ac:dyDescent="0.3">
      <c r="A138" s="140" t="s">
        <v>237</v>
      </c>
      <c r="B138" s="140">
        <v>2880</v>
      </c>
      <c r="C138" s="140">
        <v>0.25</v>
      </c>
      <c r="D138" s="140">
        <v>0.1</v>
      </c>
      <c r="E138" s="184">
        <f t="shared" si="3"/>
        <v>2916.05</v>
      </c>
    </row>
    <row r="139" spans="1:5" x14ac:dyDescent="0.3">
      <c r="A139" s="965" t="s">
        <v>238</v>
      </c>
      <c r="B139" s="965"/>
      <c r="C139" s="965"/>
      <c r="D139" s="965"/>
      <c r="E139" s="965"/>
    </row>
    <row r="140" spans="1:5" x14ac:dyDescent="0.3">
      <c r="A140" s="140" t="s">
        <v>402</v>
      </c>
      <c r="B140" s="140">
        <v>1070</v>
      </c>
      <c r="C140" s="140">
        <v>0.33</v>
      </c>
      <c r="D140" s="140">
        <v>0.03</v>
      </c>
      <c r="E140" s="184">
        <f>B140+C140*PRPCH4+D140*PRPN2O</f>
        <v>1087.19</v>
      </c>
    </row>
    <row r="141" spans="1:5" x14ac:dyDescent="0.3">
      <c r="A141" s="965" t="s">
        <v>239</v>
      </c>
      <c r="B141" s="965"/>
      <c r="C141" s="965"/>
      <c r="D141" s="965"/>
      <c r="E141" s="965"/>
    </row>
    <row r="142" spans="1:5" x14ac:dyDescent="0.3">
      <c r="A142" s="140" t="s">
        <v>240</v>
      </c>
      <c r="B142" s="140">
        <v>230</v>
      </c>
      <c r="C142" s="140">
        <v>0.06</v>
      </c>
      <c r="D142" s="140">
        <v>0.01</v>
      </c>
      <c r="E142" s="184">
        <f>B142+C142*PRPCH4+D142*PRPN2O</f>
        <v>234.48</v>
      </c>
    </row>
    <row r="143" spans="1:5" x14ac:dyDescent="0.3">
      <c r="A143" s="140" t="s">
        <v>241</v>
      </c>
      <c r="B143" s="140">
        <v>640</v>
      </c>
      <c r="C143" s="140">
        <v>0</v>
      </c>
      <c r="D143" s="140">
        <v>0.02</v>
      </c>
      <c r="E143" s="184">
        <f>B143+C143*PRPCH4+D143*PRPN2O</f>
        <v>645.96</v>
      </c>
    </row>
    <row r="144" spans="1:5" x14ac:dyDescent="0.3">
      <c r="A144" s="140" t="s">
        <v>242</v>
      </c>
      <c r="B144" s="140">
        <v>620</v>
      </c>
      <c r="C144" s="140">
        <v>0.03</v>
      </c>
      <c r="D144" s="140">
        <v>0.02</v>
      </c>
      <c r="E144" s="184">
        <f>B144+C144*PRPCH4+D144*PRPN2O</f>
        <v>626.71</v>
      </c>
    </row>
    <row r="145" spans="1:5" x14ac:dyDescent="0.3">
      <c r="A145" s="12" t="s">
        <v>243</v>
      </c>
      <c r="B145" s="8">
        <f>AVERAGE(B101:B127,B129,B130,B131,B132:B138,B140,B142:B144)</f>
        <v>3978.6585365853657</v>
      </c>
      <c r="C145" s="8">
        <f>AVERAGE(C101:C127,C129,C130,C131,C132:C138,C140,C142:C144)</f>
        <v>1.8136585365853661</v>
      </c>
      <c r="D145" s="8">
        <f>AVERAGE(D101:D127,D129,D130,D131,D132:D138,D140,D142:D144)</f>
        <v>0.13414634146341456</v>
      </c>
      <c r="E145" s="8">
        <f>AVERAGE(E101:E127,E129,E130,E131,E132:E138,E140,E142:E144)</f>
        <v>4063.9756097560962</v>
      </c>
    </row>
  </sheetData>
  <sheetProtection algorithmName="SHA-512" hashValue="+IcDXfUHk1bOhDBcEuy8nIy1W9i464WlHmUdN8u8I9wgwlRL84uOaulDMLGebPy66x6lY6y85Wl48qrpaA9oZQ==" saltValue="TZLaEKru/HW9EAtwPcfUmw==" spinCount="100000" sheet="1" objects="1" scenarios="1"/>
  <protectedRanges>
    <protectedRange algorithmName="SHA-512" hashValue="LNLfkhyS/8yMa+do/kWyrrF9lN+gj2SUMUW6QAaiqbGb8WAcE68xA8IcSMOPDNLH9XKjUl2SVKye7eVp2pqWAA==" saltValue="otRg30s6PDEh42YzbPFkkg==" spinCount="100000" sqref="A1:XFD1048576" name="Plage1"/>
  </protectedRanges>
  <mergeCells count="6">
    <mergeCell ref="A141:E141"/>
    <mergeCell ref="D60:D61"/>
    <mergeCell ref="A87:G87"/>
    <mergeCell ref="A100:E100"/>
    <mergeCell ref="A128:E128"/>
    <mergeCell ref="A139:E139"/>
  </mergeCells>
  <phoneticPr fontId="0" type="noConversion"/>
  <pageMargins left="0.78740157499999996" right="0.78740157499999996" top="0.984251969" bottom="0.984251969" header="0.5" footer="0.5"/>
  <pageSetup scale="55" orientation="portrait" r:id="rId1"/>
  <headerFooter alignWithMargins="0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19"/>
  <sheetViews>
    <sheetView tabSelected="1" workbookViewId="0">
      <selection activeCell="E13" sqref="E13:J13"/>
    </sheetView>
  </sheetViews>
  <sheetFormatPr baseColWidth="10" defaultColWidth="13" defaultRowHeight="15.5" x14ac:dyDescent="0.35"/>
  <cols>
    <col min="1" max="1" width="13" style="213"/>
    <col min="2" max="2" width="21.796875" style="213" customWidth="1"/>
    <col min="3" max="3" width="11.296875" style="213" customWidth="1"/>
    <col min="4" max="7" width="13" style="213"/>
    <col min="8" max="8" width="26.296875" style="213" customWidth="1"/>
    <col min="9" max="13" width="13" style="213"/>
    <col min="14" max="24" width="13" style="214"/>
    <col min="25" max="16384" width="13" style="226"/>
  </cols>
  <sheetData>
    <row r="1" spans="1:24" x14ac:dyDescent="0.35">
      <c r="H1" s="778"/>
      <c r="I1" s="778"/>
      <c r="J1" s="778"/>
      <c r="K1" s="778"/>
      <c r="L1" s="778"/>
      <c r="M1" s="778"/>
    </row>
    <row r="2" spans="1:24" s="215" customFormat="1" ht="20.149999999999999" customHeight="1" x14ac:dyDescent="0.35">
      <c r="A2" s="212"/>
      <c r="B2" s="973" t="s">
        <v>515</v>
      </c>
      <c r="C2" s="974" t="s">
        <v>516</v>
      </c>
      <c r="D2" s="973" t="s">
        <v>517</v>
      </c>
      <c r="E2" s="973"/>
      <c r="F2" s="973"/>
      <c r="G2" s="212"/>
      <c r="H2" s="971" t="s">
        <v>515</v>
      </c>
      <c r="I2" s="972" t="s">
        <v>516</v>
      </c>
      <c r="J2" s="971" t="s">
        <v>517</v>
      </c>
      <c r="K2" s="971"/>
      <c r="L2" s="971"/>
      <c r="M2" s="778"/>
      <c r="N2" s="214"/>
      <c r="O2" s="214"/>
      <c r="P2" s="214"/>
      <c r="Q2" s="214"/>
      <c r="R2" s="214"/>
      <c r="S2" s="214"/>
      <c r="T2" s="214"/>
      <c r="U2" s="214"/>
      <c r="V2" s="214"/>
      <c r="W2" s="214"/>
      <c r="X2" s="214"/>
    </row>
    <row r="3" spans="1:24" s="215" customFormat="1" ht="22" customHeight="1" x14ac:dyDescent="0.35">
      <c r="A3" s="212"/>
      <c r="B3" s="973"/>
      <c r="C3" s="974"/>
      <c r="D3" s="216" t="s">
        <v>518</v>
      </c>
      <c r="E3" s="216" t="s">
        <v>519</v>
      </c>
      <c r="F3" s="216" t="s">
        <v>520</v>
      </c>
      <c r="G3" s="212"/>
      <c r="H3" s="971"/>
      <c r="I3" s="972"/>
      <c r="J3" s="779" t="s">
        <v>518</v>
      </c>
      <c r="K3" s="779" t="s">
        <v>519</v>
      </c>
      <c r="L3" s="779" t="s">
        <v>520</v>
      </c>
      <c r="M3" s="778"/>
      <c r="N3" s="214"/>
      <c r="O3" s="214"/>
      <c r="P3" s="214"/>
      <c r="Q3" s="214"/>
      <c r="R3" s="214"/>
      <c r="S3" s="214"/>
      <c r="T3" s="214"/>
      <c r="U3" s="214"/>
      <c r="V3" s="214"/>
      <c r="W3" s="214"/>
      <c r="X3" s="214"/>
    </row>
    <row r="4" spans="1:24" s="215" customFormat="1" ht="17.5" x14ac:dyDescent="0.35">
      <c r="A4" s="212"/>
      <c r="B4" s="217" t="s">
        <v>521</v>
      </c>
      <c r="C4" s="379" t="s">
        <v>522</v>
      </c>
      <c r="D4" s="301">
        <v>1</v>
      </c>
      <c r="E4" s="301">
        <v>1</v>
      </c>
      <c r="F4" s="301">
        <v>1</v>
      </c>
      <c r="G4" s="212"/>
      <c r="H4" s="778" t="s">
        <v>521</v>
      </c>
      <c r="I4" s="780" t="s">
        <v>909</v>
      </c>
      <c r="J4" s="781">
        <v>1</v>
      </c>
      <c r="K4" s="779">
        <v>1</v>
      </c>
      <c r="L4" s="779">
        <v>1</v>
      </c>
      <c r="M4" s="778"/>
      <c r="N4" s="214"/>
      <c r="O4" s="214"/>
      <c r="P4" s="214"/>
      <c r="Q4" s="214"/>
      <c r="R4" s="214"/>
      <c r="S4" s="214"/>
      <c r="T4" s="214"/>
      <c r="U4" s="214"/>
      <c r="V4" s="214"/>
      <c r="W4" s="214"/>
      <c r="X4" s="214"/>
    </row>
    <row r="5" spans="1:24" s="215" customFormat="1" ht="17.5" x14ac:dyDescent="0.35">
      <c r="A5" s="212"/>
      <c r="B5" s="217" t="s">
        <v>523</v>
      </c>
      <c r="C5" s="379" t="s">
        <v>524</v>
      </c>
      <c r="D5" s="301">
        <v>21</v>
      </c>
      <c r="E5" s="301">
        <v>25</v>
      </c>
      <c r="F5" s="382">
        <v>28</v>
      </c>
      <c r="G5" s="212"/>
      <c r="H5" s="778" t="s">
        <v>523</v>
      </c>
      <c r="I5" s="780" t="s">
        <v>910</v>
      </c>
      <c r="J5" s="781">
        <v>21</v>
      </c>
      <c r="K5" s="779">
        <v>25</v>
      </c>
      <c r="L5" s="779">
        <v>28</v>
      </c>
      <c r="M5" s="778"/>
      <c r="N5" s="214"/>
      <c r="O5" s="214"/>
      <c r="P5" s="214"/>
      <c r="Q5" s="214"/>
      <c r="R5" s="214"/>
      <c r="S5" s="214"/>
      <c r="T5" s="214"/>
      <c r="U5" s="214"/>
      <c r="V5" s="214"/>
      <c r="W5" s="214"/>
      <c r="X5" s="214"/>
    </row>
    <row r="6" spans="1:24" s="215" customFormat="1" ht="17.5" x14ac:dyDescent="0.35">
      <c r="A6" s="212"/>
      <c r="B6" s="299" t="s">
        <v>525</v>
      </c>
      <c r="C6" s="380" t="s">
        <v>526</v>
      </c>
      <c r="D6" s="302">
        <v>310</v>
      </c>
      <c r="E6" s="381">
        <v>298</v>
      </c>
      <c r="F6" s="383">
        <v>265</v>
      </c>
      <c r="G6" s="212"/>
      <c r="H6" s="778" t="s">
        <v>525</v>
      </c>
      <c r="I6" s="780" t="s">
        <v>911</v>
      </c>
      <c r="J6" s="781">
        <v>310</v>
      </c>
      <c r="K6" s="779">
        <v>298</v>
      </c>
      <c r="L6" s="779">
        <v>265</v>
      </c>
      <c r="M6" s="778"/>
      <c r="N6" s="214"/>
      <c r="O6" s="214"/>
      <c r="P6" s="214"/>
      <c r="Q6" s="214"/>
      <c r="R6" s="214"/>
      <c r="S6" s="214"/>
      <c r="T6" s="214"/>
      <c r="U6" s="214"/>
      <c r="V6" s="214"/>
      <c r="W6" s="214"/>
      <c r="X6" s="214"/>
    </row>
    <row r="7" spans="1:24" s="215" customFormat="1" x14ac:dyDescent="0.35">
      <c r="A7" s="212"/>
      <c r="B7" s="217" t="s">
        <v>563</v>
      </c>
      <c r="C7" s="379"/>
      <c r="D7" s="301"/>
      <c r="E7" s="381"/>
      <c r="F7" s="382"/>
      <c r="G7" s="212"/>
      <c r="H7" s="778" t="s">
        <v>563</v>
      </c>
      <c r="I7" s="780"/>
      <c r="J7" s="781"/>
      <c r="K7" s="778"/>
      <c r="L7" s="778"/>
      <c r="M7" s="778"/>
      <c r="N7" s="214"/>
      <c r="O7" s="214"/>
      <c r="P7" s="214"/>
      <c r="Q7" s="214"/>
      <c r="R7" s="214"/>
      <c r="S7" s="214"/>
      <c r="T7" s="214"/>
      <c r="U7" s="214"/>
      <c r="V7" s="214"/>
      <c r="W7" s="214"/>
      <c r="X7" s="214"/>
    </row>
    <row r="8" spans="1:24" s="215" customFormat="1" ht="24" customHeight="1" x14ac:dyDescent="0.35">
      <c r="A8" s="212"/>
      <c r="B8" s="217" t="s">
        <v>564</v>
      </c>
      <c r="C8" s="300"/>
      <c r="D8" s="301"/>
      <c r="E8" s="301">
        <v>22800</v>
      </c>
      <c r="F8" s="382"/>
      <c r="G8" s="212"/>
      <c r="H8" s="778" t="s">
        <v>912</v>
      </c>
      <c r="I8" s="782"/>
      <c r="J8" s="781"/>
      <c r="K8" s="778"/>
      <c r="L8" s="778"/>
      <c r="M8" s="778"/>
      <c r="N8" s="214"/>
      <c r="O8" s="214"/>
      <c r="P8" s="214"/>
      <c r="Q8" s="214"/>
      <c r="R8" s="214"/>
      <c r="S8" s="214"/>
      <c r="T8" s="214"/>
      <c r="U8" s="214"/>
      <c r="V8" s="214"/>
      <c r="W8" s="214"/>
      <c r="X8" s="214"/>
    </row>
    <row r="9" spans="1:24" s="215" customFormat="1" ht="24" customHeight="1" x14ac:dyDescent="0.35">
      <c r="A9" s="212"/>
      <c r="B9" s="217" t="s">
        <v>565</v>
      </c>
      <c r="C9" s="300"/>
      <c r="D9" s="301"/>
      <c r="E9" s="301">
        <v>17200</v>
      </c>
      <c r="F9" s="301"/>
      <c r="G9" s="212"/>
      <c r="H9" s="778" t="s">
        <v>913</v>
      </c>
      <c r="I9" s="782"/>
      <c r="J9" s="781"/>
      <c r="K9" s="778"/>
      <c r="L9" s="778"/>
      <c r="M9" s="778"/>
      <c r="N9" s="214"/>
      <c r="O9" s="214"/>
      <c r="P9" s="214"/>
      <c r="Q9" s="214"/>
      <c r="R9" s="214"/>
      <c r="S9" s="214"/>
      <c r="T9" s="214"/>
      <c r="U9" s="214"/>
      <c r="V9" s="214"/>
      <c r="W9" s="214"/>
      <c r="X9" s="214"/>
    </row>
    <row r="10" spans="1:24" s="215" customFormat="1" x14ac:dyDescent="0.35">
      <c r="A10" s="212"/>
      <c r="B10" s="212"/>
      <c r="C10" s="218"/>
      <c r="D10" s="212"/>
      <c r="E10" s="212"/>
      <c r="F10" s="212"/>
      <c r="G10" s="212"/>
      <c r="H10" s="212"/>
      <c r="I10" s="212"/>
      <c r="J10" s="212"/>
      <c r="K10" s="213"/>
      <c r="L10" s="213"/>
      <c r="M10" s="213"/>
      <c r="N10" s="214"/>
      <c r="O10" s="214"/>
      <c r="P10" s="214"/>
      <c r="Q10" s="214"/>
      <c r="R10" s="214"/>
      <c r="S10" s="214"/>
      <c r="T10" s="214"/>
      <c r="U10" s="214"/>
      <c r="V10" s="214"/>
      <c r="W10" s="214"/>
      <c r="X10" s="214"/>
    </row>
    <row r="11" spans="1:24" s="215" customFormat="1" x14ac:dyDescent="0.35">
      <c r="A11" s="212"/>
      <c r="B11" s="219" t="s">
        <v>527</v>
      </c>
      <c r="C11" s="218"/>
      <c r="D11" s="212"/>
      <c r="E11" s="212"/>
      <c r="F11" s="212"/>
      <c r="G11" s="212"/>
      <c r="H11" s="212"/>
      <c r="I11" s="212"/>
      <c r="J11" s="212"/>
      <c r="K11" s="213"/>
      <c r="L11" s="213"/>
      <c r="M11" s="213"/>
      <c r="N11" s="214"/>
      <c r="O11" s="214"/>
      <c r="P11" s="214"/>
      <c r="Q11" s="214"/>
      <c r="R11" s="214"/>
      <c r="S11" s="214"/>
      <c r="T11" s="214"/>
      <c r="U11" s="214"/>
      <c r="V11" s="214"/>
      <c r="W11" s="214"/>
      <c r="X11" s="214"/>
    </row>
    <row r="12" spans="1:24" s="215" customFormat="1" x14ac:dyDescent="0.35">
      <c r="A12" s="212"/>
      <c r="B12" s="220" t="s">
        <v>528</v>
      </c>
      <c r="C12" s="220" t="s">
        <v>334</v>
      </c>
      <c r="D12" s="220" t="s">
        <v>24</v>
      </c>
      <c r="E12" s="975" t="s">
        <v>30</v>
      </c>
      <c r="F12" s="969"/>
      <c r="G12" s="969"/>
      <c r="H12" s="969"/>
      <c r="I12" s="969"/>
      <c r="J12" s="970"/>
      <c r="K12" s="213"/>
      <c r="L12" s="213"/>
      <c r="M12" s="213"/>
      <c r="N12" s="214"/>
      <c r="O12" s="214"/>
      <c r="P12" s="214"/>
      <c r="Q12" s="214"/>
      <c r="R12" s="214"/>
      <c r="S12" s="214"/>
      <c r="T12" s="214"/>
      <c r="U12" s="214"/>
      <c r="V12" s="214"/>
      <c r="W12" s="214"/>
      <c r="X12" s="214"/>
    </row>
    <row r="13" spans="1:24" s="215" customFormat="1" ht="17" x14ac:dyDescent="0.35">
      <c r="A13" s="212"/>
      <c r="B13" s="221" t="s">
        <v>529</v>
      </c>
      <c r="C13" s="222">
        <v>1</v>
      </c>
      <c r="D13" s="223" t="s">
        <v>530</v>
      </c>
      <c r="E13" s="968" t="s">
        <v>531</v>
      </c>
      <c r="F13" s="969"/>
      <c r="G13" s="969"/>
      <c r="H13" s="969"/>
      <c r="I13" s="969"/>
      <c r="J13" s="970"/>
      <c r="K13" s="213"/>
      <c r="L13" s="213"/>
      <c r="M13" s="213"/>
      <c r="N13" s="214"/>
      <c r="O13" s="214"/>
      <c r="P13" s="214"/>
      <c r="Q13" s="214"/>
      <c r="R13" s="214"/>
      <c r="S13" s="214"/>
      <c r="T13" s="214"/>
      <c r="U13" s="214"/>
      <c r="V13" s="214"/>
      <c r="W13" s="214"/>
      <c r="X13" s="214"/>
    </row>
    <row r="14" spans="1:24" s="215" customFormat="1" ht="17" x14ac:dyDescent="0.35">
      <c r="A14" s="212"/>
      <c r="B14" s="221" t="s">
        <v>532</v>
      </c>
      <c r="C14" s="222">
        <v>1810</v>
      </c>
      <c r="D14" s="223" t="s">
        <v>533</v>
      </c>
      <c r="E14" s="968" t="s">
        <v>531</v>
      </c>
      <c r="F14" s="969"/>
      <c r="G14" s="969"/>
      <c r="H14" s="969"/>
      <c r="I14" s="969"/>
      <c r="J14" s="970"/>
      <c r="K14" s="213"/>
      <c r="L14" s="213"/>
      <c r="M14" s="213"/>
      <c r="N14" s="214"/>
      <c r="O14" s="214"/>
      <c r="P14" s="214"/>
      <c r="Q14" s="214"/>
      <c r="R14" s="214"/>
      <c r="S14" s="214"/>
      <c r="T14" s="214"/>
      <c r="U14" s="214"/>
      <c r="V14" s="214"/>
      <c r="W14" s="214"/>
      <c r="X14" s="214"/>
    </row>
    <row r="15" spans="1:24" s="215" customFormat="1" ht="17" x14ac:dyDescent="0.35">
      <c r="A15" s="212"/>
      <c r="B15" s="222" t="s">
        <v>534</v>
      </c>
      <c r="C15" s="222">
        <v>3500</v>
      </c>
      <c r="D15" s="223" t="s">
        <v>535</v>
      </c>
      <c r="E15" s="968" t="s">
        <v>531</v>
      </c>
      <c r="F15" s="969"/>
      <c r="G15" s="969"/>
      <c r="H15" s="969"/>
      <c r="I15" s="969"/>
      <c r="J15" s="970"/>
      <c r="K15" s="213"/>
      <c r="L15" s="213"/>
      <c r="M15" s="213"/>
      <c r="N15" s="214"/>
      <c r="O15" s="214"/>
      <c r="P15" s="214"/>
      <c r="Q15" s="214"/>
      <c r="R15" s="214"/>
      <c r="S15" s="214"/>
      <c r="T15" s="214"/>
      <c r="U15" s="214"/>
      <c r="V15" s="214"/>
      <c r="W15" s="214"/>
      <c r="X15" s="214"/>
    </row>
    <row r="16" spans="1:24" s="215" customFormat="1" ht="17" x14ac:dyDescent="0.35">
      <c r="A16" s="212"/>
      <c r="B16" s="222" t="s">
        <v>536</v>
      </c>
      <c r="C16" s="222">
        <v>4470</v>
      </c>
      <c r="D16" s="223" t="s">
        <v>537</v>
      </c>
      <c r="E16" s="968" t="s">
        <v>531</v>
      </c>
      <c r="F16" s="969"/>
      <c r="G16" s="969"/>
      <c r="H16" s="969"/>
      <c r="I16" s="969"/>
      <c r="J16" s="970"/>
      <c r="K16" s="213"/>
      <c r="L16" s="213"/>
      <c r="M16" s="213"/>
      <c r="N16" s="214"/>
      <c r="O16" s="214"/>
      <c r="P16" s="214"/>
      <c r="Q16" s="214"/>
      <c r="R16" s="214"/>
      <c r="S16" s="214"/>
      <c r="T16" s="214"/>
      <c r="U16" s="214"/>
      <c r="V16" s="214"/>
      <c r="W16" s="214"/>
      <c r="X16" s="214"/>
    </row>
    <row r="17" spans="1:24" s="215" customFormat="1" ht="17" x14ac:dyDescent="0.35">
      <c r="A17" s="212"/>
      <c r="B17" s="221" t="s">
        <v>538</v>
      </c>
      <c r="C17" s="222">
        <f>AVERAGE(C15:C16)</f>
        <v>3985</v>
      </c>
      <c r="D17" s="223" t="s">
        <v>539</v>
      </c>
      <c r="E17" s="978" t="s">
        <v>540</v>
      </c>
      <c r="F17" s="969"/>
      <c r="G17" s="969"/>
      <c r="H17" s="969"/>
      <c r="I17" s="969"/>
      <c r="J17" s="970"/>
      <c r="K17" s="213"/>
      <c r="L17" s="213"/>
      <c r="M17" s="213"/>
      <c r="N17" s="214"/>
      <c r="O17" s="214"/>
      <c r="P17" s="214"/>
      <c r="Q17" s="214"/>
      <c r="R17" s="214"/>
      <c r="S17" s="214"/>
      <c r="T17" s="214"/>
      <c r="U17" s="214"/>
      <c r="V17" s="214"/>
      <c r="W17" s="214"/>
      <c r="X17" s="214"/>
    </row>
    <row r="18" spans="1:24" s="215" customFormat="1" ht="17" x14ac:dyDescent="0.35">
      <c r="A18" s="212"/>
      <c r="B18" s="222" t="s">
        <v>541</v>
      </c>
      <c r="C18" s="222">
        <v>1430</v>
      </c>
      <c r="D18" s="223" t="s">
        <v>542</v>
      </c>
      <c r="E18" s="968" t="s">
        <v>531</v>
      </c>
      <c r="F18" s="969"/>
      <c r="G18" s="969"/>
      <c r="H18" s="969"/>
      <c r="I18" s="969"/>
      <c r="J18" s="970"/>
      <c r="K18" s="213"/>
      <c r="L18" s="213"/>
      <c r="M18" s="213"/>
      <c r="N18" s="214"/>
      <c r="O18" s="214"/>
      <c r="P18" s="214"/>
      <c r="Q18" s="214"/>
      <c r="R18" s="214"/>
      <c r="S18" s="214"/>
      <c r="T18" s="214"/>
      <c r="U18" s="214"/>
      <c r="V18" s="214"/>
      <c r="W18" s="214"/>
      <c r="X18" s="214"/>
    </row>
    <row r="19" spans="1:24" s="215" customFormat="1" ht="17" x14ac:dyDescent="0.35">
      <c r="A19" s="212"/>
      <c r="B19" s="222" t="s">
        <v>543</v>
      </c>
      <c r="C19" s="224">
        <f>52%*C16+44%*C15+4%*C18</f>
        <v>3921.6</v>
      </c>
      <c r="D19" s="223" t="s">
        <v>544</v>
      </c>
      <c r="E19" s="968" t="s">
        <v>545</v>
      </c>
      <c r="F19" s="969"/>
      <c r="G19" s="969"/>
      <c r="H19" s="969"/>
      <c r="I19" s="969"/>
      <c r="J19" s="970"/>
      <c r="K19" s="213"/>
      <c r="L19" s="213"/>
      <c r="M19" s="213"/>
      <c r="N19" s="214"/>
      <c r="O19" s="214"/>
      <c r="P19" s="214"/>
      <c r="Q19" s="214"/>
      <c r="R19" s="214"/>
      <c r="S19" s="214"/>
      <c r="T19" s="214"/>
      <c r="U19" s="214"/>
      <c r="V19" s="214"/>
      <c r="W19" s="214"/>
      <c r="X19" s="214"/>
    </row>
    <row r="20" spans="1:24" s="215" customFormat="1" ht="17" x14ac:dyDescent="0.35">
      <c r="A20" s="212"/>
      <c r="B20" s="222" t="s">
        <v>546</v>
      </c>
      <c r="C20" s="222">
        <v>675</v>
      </c>
      <c r="D20" s="223" t="s">
        <v>547</v>
      </c>
      <c r="E20" s="968" t="s">
        <v>531</v>
      </c>
      <c r="F20" s="969"/>
      <c r="G20" s="969"/>
      <c r="H20" s="969"/>
      <c r="I20" s="969"/>
      <c r="J20" s="970"/>
      <c r="K20" s="213"/>
      <c r="L20" s="213"/>
      <c r="M20" s="213"/>
      <c r="N20" s="214"/>
      <c r="O20" s="214"/>
      <c r="P20" s="214"/>
      <c r="Q20" s="214"/>
      <c r="R20" s="214"/>
      <c r="S20" s="214"/>
      <c r="T20" s="214"/>
      <c r="U20" s="214"/>
      <c r="V20" s="214"/>
      <c r="W20" s="214"/>
      <c r="X20" s="214"/>
    </row>
    <row r="21" spans="1:24" s="215" customFormat="1" ht="17" x14ac:dyDescent="0.35">
      <c r="A21" s="212"/>
      <c r="B21" s="221" t="s">
        <v>548</v>
      </c>
      <c r="C21" s="224">
        <f>52%*C18+25%*C15+23%*C20</f>
        <v>1773.85</v>
      </c>
      <c r="D21" s="223" t="s">
        <v>549</v>
      </c>
      <c r="E21" s="968" t="s">
        <v>550</v>
      </c>
      <c r="F21" s="976"/>
      <c r="G21" s="976"/>
      <c r="H21" s="976"/>
      <c r="I21" s="976"/>
      <c r="J21" s="977"/>
      <c r="K21" s="213"/>
      <c r="L21" s="213"/>
      <c r="M21" s="213"/>
      <c r="N21" s="214"/>
      <c r="O21" s="214"/>
      <c r="P21" s="214"/>
      <c r="Q21" s="214"/>
      <c r="R21" s="214"/>
      <c r="S21" s="214"/>
      <c r="T21" s="214"/>
      <c r="U21" s="214"/>
      <c r="V21" s="214"/>
      <c r="W21" s="214"/>
      <c r="X21" s="214"/>
    </row>
    <row r="22" spans="1:24" s="215" customFormat="1" ht="17" x14ac:dyDescent="0.35">
      <c r="A22" s="212"/>
      <c r="B22" s="222" t="s">
        <v>551</v>
      </c>
      <c r="C22" s="224">
        <f>50%*C15+50%*C20</f>
        <v>2087.5</v>
      </c>
      <c r="D22" s="223" t="s">
        <v>552</v>
      </c>
      <c r="E22" s="968" t="s">
        <v>531</v>
      </c>
      <c r="F22" s="969"/>
      <c r="G22" s="969"/>
      <c r="H22" s="969"/>
      <c r="I22" s="969"/>
      <c r="J22" s="970"/>
      <c r="K22" s="213"/>
      <c r="L22" s="213"/>
      <c r="M22" s="213"/>
      <c r="N22" s="214"/>
      <c r="O22" s="214"/>
      <c r="P22" s="214"/>
      <c r="Q22" s="214"/>
      <c r="R22" s="214"/>
      <c r="S22" s="214"/>
      <c r="T22" s="214"/>
      <c r="U22" s="214"/>
      <c r="V22" s="214"/>
      <c r="W22" s="214"/>
      <c r="X22" s="214"/>
    </row>
    <row r="23" spans="1:24" s="215" customFormat="1" x14ac:dyDescent="0.35">
      <c r="A23" s="212"/>
      <c r="B23" s="212"/>
      <c r="C23" s="212"/>
      <c r="D23" s="212"/>
      <c r="E23" s="212"/>
      <c r="F23" s="212"/>
      <c r="G23" s="212"/>
      <c r="H23" s="212"/>
      <c r="I23" s="212"/>
      <c r="J23" s="212"/>
      <c r="K23" s="213"/>
      <c r="L23" s="213"/>
      <c r="M23" s="213"/>
      <c r="N23" s="214"/>
      <c r="O23" s="214"/>
      <c r="P23" s="214"/>
      <c r="Q23" s="214"/>
      <c r="R23" s="214"/>
      <c r="S23" s="214"/>
      <c r="T23" s="214"/>
      <c r="U23" s="214"/>
      <c r="V23" s="214"/>
      <c r="W23" s="214"/>
      <c r="X23" s="214"/>
    </row>
    <row r="24" spans="1:24" s="215" customFormat="1" x14ac:dyDescent="0.35">
      <c r="A24" s="212"/>
      <c r="B24" s="225"/>
      <c r="C24" s="212"/>
      <c r="D24" s="212"/>
      <c r="E24" s="212"/>
      <c r="F24" s="212"/>
      <c r="G24" s="212"/>
      <c r="H24" s="212"/>
      <c r="I24" s="212"/>
      <c r="J24" s="212"/>
      <c r="K24" s="213"/>
      <c r="L24" s="213"/>
      <c r="M24" s="213"/>
      <c r="N24" s="214"/>
      <c r="O24" s="214"/>
      <c r="P24" s="214"/>
      <c r="Q24" s="214"/>
      <c r="R24" s="214"/>
      <c r="S24" s="214"/>
      <c r="T24" s="214"/>
      <c r="U24" s="214"/>
      <c r="V24" s="214"/>
      <c r="W24" s="214"/>
      <c r="X24" s="214"/>
    </row>
    <row r="25" spans="1:24" s="215" customFormat="1" x14ac:dyDescent="0.35">
      <c r="A25" s="212"/>
      <c r="B25" s="212"/>
      <c r="C25" s="212"/>
      <c r="D25" s="212"/>
      <c r="E25" s="212"/>
      <c r="F25" s="212"/>
      <c r="G25" s="212"/>
      <c r="H25" s="212"/>
      <c r="I25" s="212"/>
      <c r="J25" s="212"/>
      <c r="K25" s="213"/>
      <c r="L25" s="213"/>
      <c r="M25" s="213"/>
      <c r="N25" s="214"/>
      <c r="O25" s="214"/>
      <c r="P25" s="214"/>
      <c r="Q25" s="214"/>
      <c r="R25" s="214"/>
      <c r="S25" s="214"/>
      <c r="T25" s="214"/>
      <c r="U25" s="214"/>
      <c r="V25" s="214"/>
      <c r="W25" s="214"/>
      <c r="X25" s="214"/>
    </row>
    <row r="26" spans="1:24" s="215" customFormat="1" x14ac:dyDescent="0.35">
      <c r="A26" s="212"/>
      <c r="B26" s="212"/>
      <c r="C26" s="212"/>
      <c r="D26" s="212"/>
      <c r="E26" s="212"/>
      <c r="F26" s="212"/>
      <c r="G26" s="212"/>
      <c r="H26" s="212"/>
      <c r="I26" s="212"/>
      <c r="J26" s="212"/>
      <c r="K26" s="213"/>
      <c r="L26" s="213"/>
      <c r="M26" s="213"/>
      <c r="N26" s="214"/>
      <c r="O26" s="214"/>
      <c r="P26" s="214"/>
      <c r="Q26" s="214"/>
      <c r="R26" s="214"/>
      <c r="S26" s="214"/>
      <c r="T26" s="214"/>
      <c r="U26" s="214"/>
      <c r="V26" s="214"/>
      <c r="W26" s="214"/>
      <c r="X26" s="214"/>
    </row>
    <row r="27" spans="1:24" s="215" customFormat="1" x14ac:dyDescent="0.35">
      <c r="A27" s="212"/>
      <c r="B27" s="212"/>
      <c r="C27" s="212"/>
      <c r="D27" s="212"/>
      <c r="E27" s="212"/>
      <c r="F27" s="212"/>
      <c r="G27" s="212"/>
      <c r="H27" s="212"/>
      <c r="I27" s="212"/>
      <c r="J27" s="212"/>
      <c r="K27" s="213"/>
      <c r="L27" s="213"/>
      <c r="M27" s="213"/>
      <c r="N27" s="214"/>
      <c r="O27" s="214"/>
      <c r="P27" s="214"/>
      <c r="Q27" s="214"/>
      <c r="R27" s="214"/>
      <c r="S27" s="214"/>
      <c r="T27" s="214"/>
      <c r="U27" s="214"/>
      <c r="V27" s="214"/>
      <c r="W27" s="214"/>
      <c r="X27" s="214"/>
    </row>
    <row r="28" spans="1:24" s="215" customFormat="1" x14ac:dyDescent="0.35">
      <c r="A28" s="212"/>
      <c r="B28" s="212"/>
      <c r="C28" s="212"/>
      <c r="D28" s="212"/>
      <c r="E28" s="212"/>
      <c r="F28" s="212"/>
      <c r="G28" s="212"/>
      <c r="H28" s="212"/>
      <c r="I28" s="212"/>
      <c r="J28" s="212"/>
      <c r="K28" s="213"/>
      <c r="L28" s="213"/>
      <c r="M28" s="213"/>
      <c r="N28" s="214"/>
      <c r="O28" s="214"/>
      <c r="P28" s="214"/>
      <c r="Q28" s="214"/>
      <c r="R28" s="214"/>
      <c r="S28" s="214"/>
      <c r="T28" s="214"/>
      <c r="U28" s="214"/>
      <c r="V28" s="214"/>
      <c r="W28" s="214"/>
      <c r="X28" s="214"/>
    </row>
    <row r="29" spans="1:24" s="215" customFormat="1" x14ac:dyDescent="0.35">
      <c r="A29" s="212"/>
      <c r="B29" s="212"/>
      <c r="C29" s="212"/>
      <c r="D29" s="212"/>
      <c r="E29" s="212"/>
      <c r="F29" s="212"/>
      <c r="G29" s="212"/>
      <c r="H29" s="212"/>
      <c r="I29" s="212"/>
      <c r="J29" s="212"/>
      <c r="K29" s="213"/>
      <c r="L29" s="213"/>
      <c r="M29" s="213"/>
      <c r="N29" s="214"/>
      <c r="O29" s="214"/>
      <c r="P29" s="214"/>
      <c r="Q29" s="214"/>
      <c r="R29" s="214"/>
      <c r="S29" s="214"/>
      <c r="T29" s="214"/>
      <c r="U29" s="214"/>
      <c r="V29" s="214"/>
      <c r="W29" s="214"/>
      <c r="X29" s="214"/>
    </row>
    <row r="30" spans="1:24" s="215" customFormat="1" x14ac:dyDescent="0.35">
      <c r="A30" s="212"/>
      <c r="B30" s="212"/>
      <c r="C30" s="212"/>
      <c r="D30" s="212"/>
      <c r="E30" s="212"/>
      <c r="F30" s="212"/>
      <c r="G30" s="212"/>
      <c r="H30" s="212"/>
      <c r="I30" s="212"/>
      <c r="J30" s="212"/>
      <c r="K30" s="213"/>
      <c r="L30" s="213"/>
      <c r="M30" s="213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</row>
    <row r="31" spans="1:24" s="215" customFormat="1" x14ac:dyDescent="0.35">
      <c r="A31" s="212"/>
      <c r="B31" s="212"/>
      <c r="C31" s="212"/>
      <c r="D31" s="212"/>
      <c r="E31" s="212"/>
      <c r="F31" s="212"/>
      <c r="G31" s="212"/>
      <c r="H31" s="212"/>
      <c r="I31" s="212"/>
      <c r="J31" s="212"/>
      <c r="K31" s="213"/>
      <c r="L31" s="213"/>
      <c r="M31" s="213"/>
      <c r="N31" s="214"/>
      <c r="O31" s="214"/>
      <c r="P31" s="214"/>
      <c r="Q31" s="214"/>
      <c r="R31" s="214"/>
      <c r="S31" s="214"/>
      <c r="T31" s="214"/>
      <c r="U31" s="214"/>
      <c r="V31" s="214"/>
      <c r="W31" s="214"/>
      <c r="X31" s="214"/>
    </row>
    <row r="32" spans="1:24" s="215" customFormat="1" x14ac:dyDescent="0.35">
      <c r="A32" s="212"/>
      <c r="B32" s="212"/>
      <c r="C32" s="212"/>
      <c r="D32" s="212"/>
      <c r="E32" s="212"/>
      <c r="F32" s="212"/>
      <c r="G32" s="212"/>
      <c r="H32" s="212"/>
      <c r="I32" s="212"/>
      <c r="J32" s="212"/>
      <c r="K32" s="213"/>
      <c r="L32" s="213"/>
      <c r="M32" s="213"/>
      <c r="N32" s="214"/>
      <c r="O32" s="214"/>
      <c r="P32" s="214"/>
      <c r="Q32" s="214"/>
      <c r="R32" s="214"/>
      <c r="S32" s="214"/>
      <c r="T32" s="214"/>
      <c r="U32" s="214"/>
      <c r="V32" s="214"/>
      <c r="W32" s="214"/>
      <c r="X32" s="214"/>
    </row>
    <row r="33" spans="1:24" s="215" customFormat="1" x14ac:dyDescent="0.35">
      <c r="A33" s="212"/>
      <c r="B33" s="212"/>
      <c r="C33" s="212"/>
      <c r="D33" s="212"/>
      <c r="E33" s="212"/>
      <c r="F33" s="212"/>
      <c r="G33" s="212"/>
      <c r="H33" s="212"/>
      <c r="I33" s="212"/>
      <c r="J33" s="212"/>
      <c r="K33" s="213"/>
      <c r="L33" s="213"/>
      <c r="M33" s="213"/>
      <c r="N33" s="214"/>
      <c r="O33" s="214"/>
      <c r="P33" s="214"/>
      <c r="Q33" s="214"/>
      <c r="R33" s="214"/>
      <c r="S33" s="214"/>
      <c r="T33" s="214"/>
      <c r="U33" s="214"/>
      <c r="V33" s="214"/>
      <c r="W33" s="214"/>
      <c r="X33" s="214"/>
    </row>
    <row r="34" spans="1:24" s="215" customFormat="1" x14ac:dyDescent="0.35">
      <c r="A34" s="212"/>
      <c r="B34" s="212"/>
      <c r="C34" s="212"/>
      <c r="D34" s="212"/>
      <c r="E34" s="212"/>
      <c r="F34" s="212"/>
      <c r="G34" s="212"/>
      <c r="H34" s="212"/>
      <c r="I34" s="212"/>
      <c r="J34" s="212"/>
      <c r="K34" s="213"/>
      <c r="L34" s="213"/>
      <c r="M34" s="213"/>
      <c r="N34" s="214"/>
      <c r="O34" s="214"/>
      <c r="P34" s="214"/>
      <c r="Q34" s="214"/>
      <c r="R34" s="214"/>
      <c r="S34" s="214"/>
      <c r="T34" s="214"/>
      <c r="U34" s="214"/>
      <c r="V34" s="214"/>
      <c r="W34" s="214"/>
      <c r="X34" s="214"/>
    </row>
    <row r="35" spans="1:24" s="215" customFormat="1" x14ac:dyDescent="0.35">
      <c r="A35" s="212"/>
      <c r="B35" s="212"/>
      <c r="C35" s="212"/>
      <c r="D35" s="212"/>
      <c r="E35" s="212"/>
      <c r="F35" s="212"/>
      <c r="G35" s="212"/>
      <c r="H35" s="212"/>
      <c r="I35" s="212"/>
      <c r="J35" s="212"/>
      <c r="K35" s="213"/>
      <c r="L35" s="213"/>
      <c r="M35" s="213"/>
      <c r="N35" s="214"/>
      <c r="O35" s="214"/>
      <c r="P35" s="214"/>
      <c r="Q35" s="214"/>
      <c r="R35" s="214"/>
      <c r="S35" s="214"/>
      <c r="T35" s="214"/>
      <c r="U35" s="214"/>
      <c r="V35" s="214"/>
      <c r="W35" s="214"/>
      <c r="X35" s="214"/>
    </row>
    <row r="36" spans="1:24" s="215" customFormat="1" x14ac:dyDescent="0.35">
      <c r="A36" s="212"/>
      <c r="B36" s="212"/>
      <c r="C36" s="212"/>
      <c r="D36" s="212"/>
      <c r="E36" s="212"/>
      <c r="F36" s="212"/>
      <c r="G36" s="212"/>
      <c r="H36" s="212"/>
      <c r="I36" s="212"/>
      <c r="J36" s="212"/>
      <c r="K36" s="213"/>
      <c r="L36" s="213"/>
      <c r="M36" s="213"/>
      <c r="N36" s="214"/>
      <c r="O36" s="214"/>
      <c r="P36" s="214"/>
      <c r="Q36" s="214"/>
      <c r="R36" s="214"/>
      <c r="S36" s="214"/>
      <c r="T36" s="214"/>
      <c r="U36" s="214"/>
      <c r="V36" s="214"/>
      <c r="W36" s="214"/>
      <c r="X36" s="214"/>
    </row>
    <row r="37" spans="1:24" s="215" customFormat="1" x14ac:dyDescent="0.35">
      <c r="A37" s="212"/>
      <c r="B37" s="212"/>
      <c r="C37" s="212"/>
      <c r="D37" s="212"/>
      <c r="E37" s="212"/>
      <c r="F37" s="212"/>
      <c r="G37" s="212"/>
      <c r="H37" s="212"/>
      <c r="I37" s="212"/>
      <c r="J37" s="212"/>
      <c r="K37" s="213"/>
      <c r="L37" s="213"/>
      <c r="M37" s="213"/>
      <c r="N37" s="214"/>
      <c r="O37" s="214"/>
      <c r="P37" s="214"/>
      <c r="Q37" s="214"/>
      <c r="R37" s="214"/>
      <c r="S37" s="214"/>
      <c r="T37" s="214"/>
      <c r="U37" s="214"/>
      <c r="V37" s="214"/>
      <c r="W37" s="214"/>
      <c r="X37" s="214"/>
    </row>
    <row r="38" spans="1:24" s="215" customFormat="1" x14ac:dyDescent="0.35">
      <c r="A38" s="213"/>
      <c r="B38" s="213"/>
      <c r="C38" s="213"/>
      <c r="D38" s="213"/>
      <c r="E38" s="213"/>
      <c r="F38" s="213"/>
      <c r="G38" s="213"/>
      <c r="H38" s="213"/>
      <c r="I38" s="213"/>
      <c r="J38" s="213"/>
      <c r="K38" s="213"/>
      <c r="L38" s="213"/>
      <c r="M38" s="213"/>
      <c r="N38" s="214"/>
      <c r="O38" s="214"/>
      <c r="P38" s="214"/>
      <c r="Q38" s="214"/>
      <c r="R38" s="214"/>
      <c r="S38" s="214"/>
      <c r="T38" s="214"/>
      <c r="U38" s="214"/>
      <c r="V38" s="214"/>
      <c r="W38" s="214"/>
      <c r="X38" s="214"/>
    </row>
    <row r="39" spans="1:24" s="215" customFormat="1" x14ac:dyDescent="0.35">
      <c r="A39" s="213"/>
      <c r="B39" s="213"/>
      <c r="C39" s="213"/>
      <c r="D39" s="213"/>
      <c r="E39" s="213"/>
      <c r="F39" s="213"/>
      <c r="G39" s="213"/>
      <c r="H39" s="213"/>
      <c r="I39" s="213"/>
      <c r="J39" s="213"/>
      <c r="K39" s="213"/>
      <c r="L39" s="213"/>
      <c r="M39" s="213"/>
      <c r="N39" s="214"/>
      <c r="O39" s="214"/>
      <c r="P39" s="214"/>
      <c r="Q39" s="214"/>
      <c r="R39" s="214"/>
      <c r="S39" s="214"/>
      <c r="T39" s="214"/>
      <c r="U39" s="214"/>
      <c r="V39" s="214"/>
      <c r="W39" s="214"/>
      <c r="X39" s="214"/>
    </row>
    <row r="40" spans="1:24" s="215" customFormat="1" x14ac:dyDescent="0.35">
      <c r="A40" s="213"/>
      <c r="B40" s="213"/>
      <c r="C40" s="213"/>
      <c r="D40" s="213"/>
      <c r="E40" s="213"/>
      <c r="F40" s="213"/>
      <c r="G40" s="213"/>
      <c r="H40" s="213"/>
      <c r="I40" s="213"/>
      <c r="J40" s="213"/>
      <c r="K40" s="213"/>
      <c r="L40" s="213"/>
      <c r="M40" s="213"/>
      <c r="N40" s="214"/>
      <c r="O40" s="214"/>
      <c r="P40" s="214"/>
      <c r="Q40" s="214"/>
      <c r="R40" s="214"/>
      <c r="S40" s="214"/>
      <c r="T40" s="214"/>
      <c r="U40" s="214"/>
      <c r="V40" s="214"/>
      <c r="W40" s="214"/>
      <c r="X40" s="214"/>
    </row>
    <row r="41" spans="1:24" s="215" customFormat="1" x14ac:dyDescent="0.35">
      <c r="A41" s="213"/>
      <c r="B41" s="213"/>
      <c r="C41" s="213"/>
      <c r="D41" s="213"/>
      <c r="E41" s="213"/>
      <c r="F41" s="213"/>
      <c r="G41" s="213"/>
      <c r="H41" s="213"/>
      <c r="I41" s="213"/>
      <c r="J41" s="213"/>
      <c r="K41" s="213"/>
      <c r="L41" s="213"/>
      <c r="M41" s="213"/>
      <c r="N41" s="214"/>
      <c r="O41" s="214"/>
      <c r="P41" s="214"/>
      <c r="Q41" s="214"/>
      <c r="R41" s="214"/>
      <c r="S41" s="214"/>
      <c r="T41" s="214"/>
      <c r="U41" s="214"/>
      <c r="V41" s="214"/>
      <c r="W41" s="214"/>
      <c r="X41" s="214"/>
    </row>
    <row r="42" spans="1:24" s="215" customFormat="1" x14ac:dyDescent="0.35">
      <c r="A42" s="213"/>
      <c r="B42" s="213"/>
      <c r="C42" s="213"/>
      <c r="D42" s="213"/>
      <c r="E42" s="213"/>
      <c r="F42" s="213"/>
      <c r="G42" s="213"/>
      <c r="H42" s="213"/>
      <c r="I42" s="213"/>
      <c r="J42" s="213"/>
      <c r="K42" s="213"/>
      <c r="L42" s="213"/>
      <c r="M42" s="213"/>
      <c r="N42" s="214"/>
      <c r="O42" s="214"/>
      <c r="P42" s="214"/>
      <c r="Q42" s="214"/>
      <c r="R42" s="214"/>
      <c r="S42" s="214"/>
      <c r="T42" s="214"/>
      <c r="U42" s="214"/>
      <c r="V42" s="214"/>
      <c r="W42" s="214"/>
      <c r="X42" s="214"/>
    </row>
    <row r="43" spans="1:24" s="215" customFormat="1" x14ac:dyDescent="0.35">
      <c r="A43" s="213"/>
      <c r="B43" s="213"/>
      <c r="C43" s="213"/>
      <c r="D43" s="213"/>
      <c r="E43" s="213"/>
      <c r="F43" s="213"/>
      <c r="G43" s="213"/>
      <c r="H43" s="213"/>
      <c r="I43" s="213"/>
      <c r="J43" s="213"/>
      <c r="K43" s="213"/>
      <c r="L43" s="213"/>
      <c r="M43" s="213"/>
      <c r="N43" s="214"/>
      <c r="O43" s="214"/>
      <c r="P43" s="214"/>
      <c r="Q43" s="214"/>
      <c r="R43" s="214"/>
      <c r="S43" s="214"/>
      <c r="T43" s="214"/>
      <c r="U43" s="214"/>
      <c r="V43" s="214"/>
      <c r="W43" s="214"/>
      <c r="X43" s="214"/>
    </row>
    <row r="44" spans="1:24" s="215" customFormat="1" x14ac:dyDescent="0.35">
      <c r="A44" s="213"/>
      <c r="B44" s="213"/>
      <c r="C44" s="213"/>
      <c r="D44" s="213"/>
      <c r="E44" s="213"/>
      <c r="F44" s="213"/>
      <c r="G44" s="213"/>
      <c r="H44" s="213"/>
      <c r="I44" s="213"/>
      <c r="J44" s="213"/>
      <c r="K44" s="213"/>
      <c r="L44" s="213"/>
      <c r="M44" s="213"/>
      <c r="N44" s="214"/>
      <c r="O44" s="214"/>
      <c r="P44" s="214"/>
      <c r="Q44" s="214"/>
      <c r="R44" s="214"/>
      <c r="S44" s="214"/>
      <c r="T44" s="214"/>
      <c r="U44" s="214"/>
      <c r="V44" s="214"/>
      <c r="W44" s="214"/>
      <c r="X44" s="214"/>
    </row>
    <row r="45" spans="1:24" s="215" customFormat="1" x14ac:dyDescent="0.35">
      <c r="A45" s="213"/>
      <c r="B45" s="213"/>
      <c r="C45" s="213"/>
      <c r="D45" s="213"/>
      <c r="E45" s="213"/>
      <c r="F45" s="213"/>
      <c r="G45" s="213"/>
      <c r="H45" s="213"/>
      <c r="I45" s="213"/>
      <c r="J45" s="213"/>
      <c r="K45" s="213"/>
      <c r="L45" s="213"/>
      <c r="M45" s="213"/>
      <c r="N45" s="214"/>
      <c r="O45" s="214"/>
      <c r="P45" s="214"/>
      <c r="Q45" s="214"/>
      <c r="R45" s="214"/>
      <c r="S45" s="214"/>
      <c r="T45" s="214"/>
      <c r="U45" s="214"/>
      <c r="V45" s="214"/>
      <c r="W45" s="214"/>
      <c r="X45" s="214"/>
    </row>
    <row r="46" spans="1:24" s="215" customFormat="1" x14ac:dyDescent="0.35">
      <c r="A46" s="213"/>
      <c r="B46" s="213"/>
      <c r="C46" s="213"/>
      <c r="D46" s="213"/>
      <c r="E46" s="213"/>
      <c r="F46" s="213"/>
      <c r="G46" s="213"/>
      <c r="H46" s="213"/>
      <c r="I46" s="213"/>
      <c r="J46" s="213"/>
      <c r="K46" s="213"/>
      <c r="L46" s="213"/>
      <c r="M46" s="213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214"/>
    </row>
    <row r="47" spans="1:24" s="215" customFormat="1" x14ac:dyDescent="0.35">
      <c r="A47" s="213"/>
      <c r="B47" s="213"/>
      <c r="C47" s="213"/>
      <c r="D47" s="213"/>
      <c r="E47" s="213"/>
      <c r="F47" s="213"/>
      <c r="G47" s="213"/>
      <c r="H47" s="213"/>
      <c r="I47" s="213"/>
      <c r="J47" s="213"/>
      <c r="K47" s="213"/>
      <c r="L47" s="213"/>
      <c r="M47" s="213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214"/>
    </row>
    <row r="48" spans="1:24" s="215" customFormat="1" x14ac:dyDescent="0.35">
      <c r="A48" s="213"/>
      <c r="B48" s="213"/>
      <c r="C48" s="213"/>
      <c r="D48" s="213"/>
      <c r="E48" s="213"/>
      <c r="F48" s="213"/>
      <c r="G48" s="213"/>
      <c r="H48" s="213"/>
      <c r="I48" s="213"/>
      <c r="J48" s="213"/>
      <c r="K48" s="213"/>
      <c r="L48" s="213"/>
      <c r="M48" s="213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214"/>
    </row>
    <row r="49" spans="1:24" s="215" customFormat="1" x14ac:dyDescent="0.35">
      <c r="A49" s="213"/>
      <c r="B49" s="213"/>
      <c r="C49" s="213"/>
      <c r="D49" s="213"/>
      <c r="E49" s="213"/>
      <c r="F49" s="213"/>
      <c r="G49" s="213"/>
      <c r="H49" s="213"/>
      <c r="I49" s="213"/>
      <c r="J49" s="213"/>
      <c r="K49" s="213"/>
      <c r="L49" s="213"/>
      <c r="M49" s="213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214"/>
    </row>
    <row r="50" spans="1:24" s="215" customFormat="1" x14ac:dyDescent="0.35">
      <c r="A50" s="213"/>
      <c r="B50" s="213"/>
      <c r="C50" s="213"/>
      <c r="D50" s="213"/>
      <c r="E50" s="213"/>
      <c r="F50" s="213"/>
      <c r="G50" s="213"/>
      <c r="H50" s="213"/>
      <c r="I50" s="213"/>
      <c r="J50" s="213"/>
      <c r="K50" s="213"/>
      <c r="L50" s="213"/>
      <c r="M50" s="213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214"/>
    </row>
    <row r="51" spans="1:24" s="215" customFormat="1" x14ac:dyDescent="0.35">
      <c r="A51" s="213"/>
      <c r="B51" s="213"/>
      <c r="C51" s="213"/>
      <c r="D51" s="213"/>
      <c r="E51" s="213"/>
      <c r="F51" s="213"/>
      <c r="G51" s="213"/>
      <c r="H51" s="213"/>
      <c r="I51" s="213"/>
      <c r="J51" s="213"/>
      <c r="K51" s="213"/>
      <c r="L51" s="213"/>
      <c r="M51" s="213"/>
      <c r="N51" s="214"/>
      <c r="O51" s="214"/>
      <c r="P51" s="214"/>
      <c r="Q51" s="214"/>
      <c r="R51" s="214"/>
      <c r="S51" s="214"/>
      <c r="T51" s="214"/>
      <c r="U51" s="214"/>
      <c r="V51" s="214"/>
      <c r="W51" s="214"/>
      <c r="X51" s="214"/>
    </row>
    <row r="52" spans="1:24" s="215" customFormat="1" x14ac:dyDescent="0.35">
      <c r="A52" s="213"/>
      <c r="B52" s="213"/>
      <c r="C52" s="213"/>
      <c r="D52" s="213"/>
      <c r="E52" s="213"/>
      <c r="F52" s="213"/>
      <c r="G52" s="213"/>
      <c r="H52" s="213"/>
      <c r="I52" s="213"/>
      <c r="J52" s="213"/>
      <c r="K52" s="213"/>
      <c r="L52" s="213"/>
      <c r="M52" s="213"/>
      <c r="N52" s="214"/>
      <c r="O52" s="214"/>
      <c r="P52" s="214"/>
      <c r="Q52" s="214"/>
      <c r="R52" s="214"/>
      <c r="S52" s="214"/>
      <c r="T52" s="214"/>
      <c r="U52" s="214"/>
      <c r="V52" s="214"/>
      <c r="W52" s="214"/>
      <c r="X52" s="214"/>
    </row>
    <row r="53" spans="1:24" s="215" customFormat="1" x14ac:dyDescent="0.35">
      <c r="A53" s="213"/>
      <c r="B53" s="213"/>
      <c r="C53" s="213"/>
      <c r="D53" s="213"/>
      <c r="E53" s="213"/>
      <c r="F53" s="213"/>
      <c r="G53" s="213"/>
      <c r="H53" s="213"/>
      <c r="I53" s="213"/>
      <c r="J53" s="213"/>
      <c r="K53" s="213"/>
      <c r="L53" s="213"/>
      <c r="M53" s="213"/>
      <c r="N53" s="214"/>
      <c r="O53" s="214"/>
      <c r="P53" s="214"/>
      <c r="Q53" s="214"/>
      <c r="R53" s="214"/>
      <c r="S53" s="214"/>
      <c r="T53" s="214"/>
      <c r="U53" s="214"/>
      <c r="V53" s="214"/>
      <c r="W53" s="214"/>
      <c r="X53" s="214"/>
    </row>
    <row r="54" spans="1:24" s="215" customFormat="1" x14ac:dyDescent="0.35">
      <c r="A54" s="213"/>
      <c r="B54" s="213"/>
      <c r="C54" s="213"/>
      <c r="D54" s="213"/>
      <c r="E54" s="213"/>
      <c r="F54" s="213"/>
      <c r="G54" s="213"/>
      <c r="H54" s="213"/>
      <c r="I54" s="213"/>
      <c r="J54" s="213"/>
      <c r="K54" s="213"/>
      <c r="L54" s="213"/>
      <c r="M54" s="213"/>
      <c r="N54" s="214"/>
      <c r="O54" s="214"/>
      <c r="P54" s="214"/>
      <c r="Q54" s="214"/>
      <c r="R54" s="214"/>
      <c r="S54" s="214"/>
      <c r="T54" s="214"/>
      <c r="U54" s="214"/>
      <c r="V54" s="214"/>
      <c r="W54" s="214"/>
      <c r="X54" s="214"/>
    </row>
    <row r="55" spans="1:24" s="215" customFormat="1" x14ac:dyDescent="0.35">
      <c r="A55" s="213"/>
      <c r="B55" s="213"/>
      <c r="C55" s="213"/>
      <c r="D55" s="213"/>
      <c r="E55" s="213"/>
      <c r="F55" s="213"/>
      <c r="G55" s="213"/>
      <c r="H55" s="213"/>
      <c r="I55" s="213"/>
      <c r="J55" s="213"/>
      <c r="K55" s="213"/>
      <c r="L55" s="213"/>
      <c r="M55" s="213"/>
      <c r="N55" s="214"/>
      <c r="O55" s="214"/>
      <c r="P55" s="214"/>
      <c r="Q55" s="214"/>
      <c r="R55" s="214"/>
      <c r="S55" s="214"/>
      <c r="T55" s="214"/>
      <c r="U55" s="214"/>
      <c r="V55" s="214"/>
      <c r="W55" s="214"/>
      <c r="X55" s="214"/>
    </row>
    <row r="56" spans="1:24" s="215" customFormat="1" x14ac:dyDescent="0.35">
      <c r="A56" s="213"/>
      <c r="B56" s="213"/>
      <c r="C56" s="213"/>
      <c r="D56" s="213"/>
      <c r="E56" s="213"/>
      <c r="F56" s="213"/>
      <c r="G56" s="213"/>
      <c r="H56" s="213"/>
      <c r="I56" s="213"/>
      <c r="J56" s="213"/>
      <c r="K56" s="213"/>
      <c r="L56" s="213"/>
      <c r="M56" s="213"/>
      <c r="N56" s="214"/>
      <c r="O56" s="214"/>
      <c r="P56" s="214"/>
      <c r="Q56" s="214"/>
      <c r="R56" s="214"/>
      <c r="S56" s="214"/>
      <c r="T56" s="214"/>
      <c r="U56" s="214"/>
      <c r="V56" s="214"/>
      <c r="W56" s="214"/>
      <c r="X56" s="214"/>
    </row>
    <row r="57" spans="1:24" s="215" customFormat="1" x14ac:dyDescent="0.35">
      <c r="A57" s="213"/>
      <c r="B57" s="213"/>
      <c r="C57" s="213"/>
      <c r="D57" s="213"/>
      <c r="E57" s="213"/>
      <c r="F57" s="213"/>
      <c r="G57" s="213"/>
      <c r="H57" s="213"/>
      <c r="I57" s="213"/>
      <c r="J57" s="213"/>
      <c r="K57" s="213"/>
      <c r="L57" s="213"/>
      <c r="M57" s="213"/>
      <c r="N57" s="214"/>
      <c r="O57" s="214"/>
      <c r="P57" s="214"/>
      <c r="Q57" s="214"/>
      <c r="R57" s="214"/>
      <c r="S57" s="214"/>
      <c r="T57" s="214"/>
      <c r="U57" s="214"/>
      <c r="V57" s="214"/>
      <c r="W57" s="214"/>
      <c r="X57" s="214"/>
    </row>
    <row r="58" spans="1:24" s="215" customFormat="1" x14ac:dyDescent="0.35">
      <c r="A58" s="213"/>
      <c r="B58" s="213"/>
      <c r="C58" s="213"/>
      <c r="D58" s="213"/>
      <c r="E58" s="213"/>
      <c r="F58" s="213"/>
      <c r="G58" s="213"/>
      <c r="H58" s="213"/>
      <c r="I58" s="213"/>
      <c r="J58" s="213"/>
      <c r="K58" s="213"/>
      <c r="L58" s="213"/>
      <c r="M58" s="213"/>
      <c r="N58" s="214"/>
      <c r="O58" s="214"/>
      <c r="P58" s="214"/>
      <c r="Q58" s="214"/>
      <c r="R58" s="214"/>
      <c r="S58" s="214"/>
      <c r="T58" s="214"/>
      <c r="U58" s="214"/>
      <c r="V58" s="214"/>
      <c r="W58" s="214"/>
      <c r="X58" s="214"/>
    </row>
    <row r="59" spans="1:24" s="215" customFormat="1" x14ac:dyDescent="0.35">
      <c r="A59" s="213"/>
      <c r="B59" s="213"/>
      <c r="C59" s="213"/>
      <c r="D59" s="213"/>
      <c r="E59" s="213"/>
      <c r="F59" s="213"/>
      <c r="G59" s="213"/>
      <c r="H59" s="213"/>
      <c r="I59" s="213"/>
      <c r="J59" s="213"/>
      <c r="K59" s="213"/>
      <c r="L59" s="213"/>
      <c r="M59" s="213"/>
      <c r="N59" s="214"/>
      <c r="O59" s="214"/>
      <c r="P59" s="214"/>
      <c r="Q59" s="214"/>
      <c r="R59" s="214"/>
      <c r="S59" s="214"/>
      <c r="T59" s="214"/>
      <c r="U59" s="214"/>
      <c r="V59" s="214"/>
      <c r="W59" s="214"/>
      <c r="X59" s="214"/>
    </row>
    <row r="60" spans="1:24" s="215" customFormat="1" x14ac:dyDescent="0.35">
      <c r="A60" s="213"/>
      <c r="B60" s="213"/>
      <c r="C60" s="213"/>
      <c r="D60" s="213"/>
      <c r="E60" s="213"/>
      <c r="F60" s="213"/>
      <c r="G60" s="213"/>
      <c r="H60" s="213"/>
      <c r="I60" s="213"/>
      <c r="J60" s="213"/>
      <c r="K60" s="213"/>
      <c r="L60" s="213"/>
      <c r="M60" s="213"/>
      <c r="N60" s="214"/>
      <c r="O60" s="214"/>
      <c r="P60" s="214"/>
      <c r="Q60" s="214"/>
      <c r="R60" s="214"/>
      <c r="S60" s="214"/>
      <c r="T60" s="214"/>
      <c r="U60" s="214"/>
      <c r="V60" s="214"/>
      <c r="W60" s="214"/>
      <c r="X60" s="214"/>
    </row>
    <row r="61" spans="1:24" s="215" customFormat="1" x14ac:dyDescent="0.35">
      <c r="A61" s="213"/>
      <c r="B61" s="213"/>
      <c r="C61" s="213"/>
      <c r="D61" s="213"/>
      <c r="E61" s="213"/>
      <c r="F61" s="213"/>
      <c r="G61" s="213"/>
      <c r="H61" s="213"/>
      <c r="I61" s="213"/>
      <c r="J61" s="213"/>
      <c r="K61" s="213"/>
      <c r="L61" s="213"/>
      <c r="M61" s="213"/>
      <c r="N61" s="214"/>
      <c r="O61" s="214"/>
      <c r="P61" s="214"/>
      <c r="Q61" s="214"/>
      <c r="R61" s="214"/>
      <c r="S61" s="214"/>
      <c r="T61" s="214"/>
      <c r="U61" s="214"/>
      <c r="V61" s="214"/>
      <c r="W61" s="214"/>
      <c r="X61" s="214"/>
    </row>
    <row r="62" spans="1:24" s="215" customFormat="1" x14ac:dyDescent="0.35">
      <c r="A62" s="213"/>
      <c r="B62" s="213"/>
      <c r="C62" s="213"/>
      <c r="D62" s="213"/>
      <c r="E62" s="213"/>
      <c r="F62" s="213"/>
      <c r="G62" s="213"/>
      <c r="H62" s="213"/>
      <c r="I62" s="213"/>
      <c r="J62" s="213"/>
      <c r="K62" s="213"/>
      <c r="L62" s="213"/>
      <c r="M62" s="213"/>
      <c r="N62" s="214"/>
      <c r="O62" s="214"/>
      <c r="P62" s="214"/>
      <c r="Q62" s="214"/>
      <c r="R62" s="214"/>
      <c r="S62" s="214"/>
      <c r="T62" s="214"/>
      <c r="U62" s="214"/>
      <c r="V62" s="214"/>
      <c r="W62" s="214"/>
      <c r="X62" s="214"/>
    </row>
    <row r="63" spans="1:24" s="215" customFormat="1" x14ac:dyDescent="0.35">
      <c r="A63" s="213"/>
      <c r="B63" s="213"/>
      <c r="C63" s="213"/>
      <c r="D63" s="213"/>
      <c r="E63" s="213"/>
      <c r="F63" s="213"/>
      <c r="G63" s="213"/>
      <c r="H63" s="213"/>
      <c r="I63" s="213"/>
      <c r="J63" s="213"/>
      <c r="K63" s="213"/>
      <c r="L63" s="213"/>
      <c r="M63" s="213"/>
      <c r="N63" s="214"/>
      <c r="O63" s="214"/>
      <c r="P63" s="214"/>
      <c r="Q63" s="214"/>
      <c r="R63" s="214"/>
      <c r="S63" s="214"/>
      <c r="T63" s="214"/>
      <c r="U63" s="214"/>
      <c r="V63" s="214"/>
      <c r="W63" s="214"/>
      <c r="X63" s="214"/>
    </row>
    <row r="64" spans="1:24" s="215" customFormat="1" x14ac:dyDescent="0.35">
      <c r="A64" s="213"/>
      <c r="B64" s="213"/>
      <c r="C64" s="213"/>
      <c r="D64" s="213"/>
      <c r="E64" s="213"/>
      <c r="F64" s="213"/>
      <c r="G64" s="213"/>
      <c r="H64" s="213"/>
      <c r="I64" s="213"/>
      <c r="J64" s="213"/>
      <c r="K64" s="213"/>
      <c r="L64" s="213"/>
      <c r="M64" s="213"/>
      <c r="N64" s="214"/>
      <c r="O64" s="214"/>
      <c r="P64" s="214"/>
      <c r="Q64" s="214"/>
      <c r="R64" s="214"/>
      <c r="S64" s="214"/>
      <c r="T64" s="214"/>
      <c r="U64" s="214"/>
      <c r="V64" s="214"/>
      <c r="W64" s="214"/>
      <c r="X64" s="214"/>
    </row>
    <row r="65" spans="1:24" s="215" customFormat="1" x14ac:dyDescent="0.35">
      <c r="A65" s="213"/>
      <c r="B65" s="213"/>
      <c r="C65" s="213"/>
      <c r="D65" s="213"/>
      <c r="E65" s="213"/>
      <c r="F65" s="213"/>
      <c r="G65" s="213"/>
      <c r="H65" s="213"/>
      <c r="I65" s="213"/>
      <c r="J65" s="213"/>
      <c r="K65" s="213"/>
      <c r="L65" s="213"/>
      <c r="M65" s="213"/>
      <c r="N65" s="214"/>
      <c r="O65" s="214"/>
      <c r="P65" s="214"/>
      <c r="Q65" s="214"/>
      <c r="R65" s="214"/>
      <c r="S65" s="214"/>
      <c r="T65" s="214"/>
      <c r="U65" s="214"/>
      <c r="V65" s="214"/>
      <c r="W65" s="214"/>
      <c r="X65" s="214"/>
    </row>
    <row r="66" spans="1:24" s="215" customFormat="1" x14ac:dyDescent="0.35">
      <c r="A66" s="213"/>
      <c r="B66" s="213"/>
      <c r="C66" s="213"/>
      <c r="D66" s="213"/>
      <c r="E66" s="213"/>
      <c r="F66" s="213"/>
      <c r="G66" s="213"/>
      <c r="H66" s="213"/>
      <c r="I66" s="213"/>
      <c r="J66" s="213"/>
      <c r="K66" s="213"/>
      <c r="L66" s="213"/>
      <c r="M66" s="213"/>
      <c r="N66" s="214"/>
      <c r="O66" s="214"/>
      <c r="P66" s="214"/>
      <c r="Q66" s="214"/>
      <c r="R66" s="214"/>
      <c r="S66" s="214"/>
      <c r="T66" s="214"/>
      <c r="U66" s="214"/>
      <c r="V66" s="214"/>
      <c r="W66" s="214"/>
      <c r="X66" s="214"/>
    </row>
    <row r="67" spans="1:24" s="215" customFormat="1" x14ac:dyDescent="0.35">
      <c r="A67" s="213"/>
      <c r="B67" s="213"/>
      <c r="C67" s="213"/>
      <c r="D67" s="213"/>
      <c r="E67" s="213"/>
      <c r="F67" s="213"/>
      <c r="G67" s="213"/>
      <c r="H67" s="213"/>
      <c r="I67" s="213"/>
      <c r="J67" s="213"/>
      <c r="K67" s="213"/>
      <c r="L67" s="213"/>
      <c r="M67" s="213"/>
      <c r="N67" s="214"/>
      <c r="O67" s="214"/>
      <c r="P67" s="214"/>
      <c r="Q67" s="214"/>
      <c r="R67" s="214"/>
      <c r="S67" s="214"/>
      <c r="T67" s="214"/>
      <c r="U67" s="214"/>
      <c r="V67" s="214"/>
      <c r="W67" s="214"/>
      <c r="X67" s="214"/>
    </row>
    <row r="68" spans="1:24" s="215" customFormat="1" x14ac:dyDescent="0.35">
      <c r="A68" s="213"/>
      <c r="B68" s="213"/>
      <c r="C68" s="213"/>
      <c r="D68" s="213"/>
      <c r="E68" s="213"/>
      <c r="F68" s="213"/>
      <c r="G68" s="213"/>
      <c r="H68" s="213"/>
      <c r="I68" s="213"/>
      <c r="J68" s="213"/>
      <c r="K68" s="213"/>
      <c r="L68" s="213"/>
      <c r="M68" s="213"/>
      <c r="N68" s="214"/>
      <c r="O68" s="214"/>
      <c r="P68" s="214"/>
      <c r="Q68" s="214"/>
      <c r="R68" s="214"/>
      <c r="S68" s="214"/>
      <c r="T68" s="214"/>
      <c r="U68" s="214"/>
      <c r="V68" s="214"/>
      <c r="W68" s="214"/>
      <c r="X68" s="214"/>
    </row>
    <row r="69" spans="1:24" s="215" customFormat="1" x14ac:dyDescent="0.35">
      <c r="A69" s="213"/>
      <c r="B69" s="213"/>
      <c r="C69" s="213"/>
      <c r="D69" s="213"/>
      <c r="E69" s="213"/>
      <c r="F69" s="213"/>
      <c r="G69" s="213"/>
      <c r="H69" s="213"/>
      <c r="I69" s="213"/>
      <c r="J69" s="213"/>
      <c r="K69" s="213"/>
      <c r="L69" s="213"/>
      <c r="M69" s="213"/>
      <c r="N69" s="214"/>
      <c r="O69" s="214"/>
      <c r="P69" s="214"/>
      <c r="Q69" s="214"/>
      <c r="R69" s="214"/>
      <c r="S69" s="214"/>
      <c r="T69" s="214"/>
      <c r="U69" s="214"/>
      <c r="V69" s="214"/>
      <c r="W69" s="214"/>
      <c r="X69" s="214"/>
    </row>
    <row r="70" spans="1:24" s="215" customFormat="1" x14ac:dyDescent="0.35">
      <c r="A70" s="213"/>
      <c r="B70" s="213"/>
      <c r="C70" s="213"/>
      <c r="D70" s="213"/>
      <c r="E70" s="213"/>
      <c r="F70" s="213"/>
      <c r="G70" s="213"/>
      <c r="H70" s="213"/>
      <c r="I70" s="213"/>
      <c r="J70" s="213"/>
      <c r="K70" s="213"/>
      <c r="L70" s="213"/>
      <c r="M70" s="213"/>
      <c r="N70" s="214"/>
      <c r="O70" s="214"/>
      <c r="P70" s="214"/>
      <c r="Q70" s="214"/>
      <c r="R70" s="214"/>
      <c r="S70" s="214"/>
      <c r="T70" s="214"/>
      <c r="U70" s="214"/>
      <c r="V70" s="214"/>
      <c r="W70" s="214"/>
      <c r="X70" s="214"/>
    </row>
    <row r="71" spans="1:24" s="215" customFormat="1" x14ac:dyDescent="0.35">
      <c r="A71" s="213"/>
      <c r="B71" s="213"/>
      <c r="C71" s="213"/>
      <c r="D71" s="213"/>
      <c r="E71" s="213"/>
      <c r="F71" s="213"/>
      <c r="G71" s="213"/>
      <c r="H71" s="213"/>
      <c r="I71" s="213"/>
      <c r="J71" s="213"/>
      <c r="K71" s="213"/>
      <c r="L71" s="213"/>
      <c r="M71" s="213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</row>
    <row r="72" spans="1:24" s="215" customFormat="1" x14ac:dyDescent="0.35">
      <c r="A72" s="213"/>
      <c r="B72" s="213"/>
      <c r="C72" s="213"/>
      <c r="D72" s="213"/>
      <c r="E72" s="213"/>
      <c r="F72" s="213"/>
      <c r="G72" s="213"/>
      <c r="H72" s="213"/>
      <c r="I72" s="213"/>
      <c r="J72" s="213"/>
      <c r="K72" s="213"/>
      <c r="L72" s="213"/>
      <c r="M72" s="213"/>
      <c r="N72" s="214"/>
      <c r="O72" s="214"/>
      <c r="P72" s="214"/>
      <c r="Q72" s="214"/>
      <c r="R72" s="214"/>
      <c r="S72" s="214"/>
      <c r="T72" s="214"/>
      <c r="U72" s="214"/>
      <c r="V72" s="214"/>
      <c r="W72" s="214"/>
      <c r="X72" s="214"/>
    </row>
    <row r="73" spans="1:24" s="215" customFormat="1" x14ac:dyDescent="0.35">
      <c r="A73" s="213"/>
      <c r="B73" s="213"/>
      <c r="C73" s="213"/>
      <c r="D73" s="213"/>
      <c r="E73" s="213"/>
      <c r="F73" s="213"/>
      <c r="G73" s="213"/>
      <c r="H73" s="213"/>
      <c r="I73" s="213"/>
      <c r="J73" s="213"/>
      <c r="K73" s="213"/>
      <c r="L73" s="213"/>
      <c r="M73" s="213"/>
      <c r="N73" s="214"/>
      <c r="O73" s="214"/>
      <c r="P73" s="214"/>
      <c r="Q73" s="214"/>
      <c r="R73" s="214"/>
      <c r="S73" s="214"/>
      <c r="T73" s="214"/>
      <c r="U73" s="214"/>
      <c r="V73" s="214"/>
      <c r="W73" s="214"/>
      <c r="X73" s="214"/>
    </row>
    <row r="74" spans="1:24" s="215" customFormat="1" x14ac:dyDescent="0.35">
      <c r="A74" s="213"/>
      <c r="B74" s="213"/>
      <c r="C74" s="213"/>
      <c r="D74" s="213"/>
      <c r="E74" s="213"/>
      <c r="F74" s="213"/>
      <c r="G74" s="213"/>
      <c r="H74" s="213"/>
      <c r="I74" s="213"/>
      <c r="J74" s="213"/>
      <c r="K74" s="213"/>
      <c r="L74" s="213"/>
      <c r="M74" s="213"/>
      <c r="N74" s="214"/>
      <c r="O74" s="214"/>
      <c r="P74" s="214"/>
      <c r="Q74" s="214"/>
      <c r="R74" s="214"/>
      <c r="S74" s="214"/>
      <c r="T74" s="214"/>
      <c r="U74" s="214"/>
      <c r="V74" s="214"/>
      <c r="W74" s="214"/>
      <c r="X74" s="214"/>
    </row>
    <row r="75" spans="1:24" s="215" customFormat="1" x14ac:dyDescent="0.35">
      <c r="A75" s="213"/>
      <c r="B75" s="213"/>
      <c r="C75" s="213"/>
      <c r="D75" s="213"/>
      <c r="E75" s="213"/>
      <c r="F75" s="213"/>
      <c r="G75" s="213"/>
      <c r="H75" s="213"/>
      <c r="I75" s="213"/>
      <c r="J75" s="213"/>
      <c r="K75" s="213"/>
      <c r="L75" s="213"/>
      <c r="M75" s="213"/>
      <c r="N75" s="214"/>
      <c r="O75" s="214"/>
      <c r="P75" s="214"/>
      <c r="Q75" s="214"/>
      <c r="R75" s="214"/>
      <c r="S75" s="214"/>
      <c r="T75" s="214"/>
      <c r="U75" s="214"/>
      <c r="V75" s="214"/>
      <c r="W75" s="214"/>
      <c r="X75" s="214"/>
    </row>
    <row r="76" spans="1:24" s="215" customFormat="1" x14ac:dyDescent="0.35">
      <c r="A76" s="213"/>
      <c r="B76" s="213"/>
      <c r="C76" s="213"/>
      <c r="D76" s="213"/>
      <c r="E76" s="213"/>
      <c r="F76" s="213"/>
      <c r="G76" s="213"/>
      <c r="H76" s="213"/>
      <c r="I76" s="213"/>
      <c r="J76" s="213"/>
      <c r="K76" s="213"/>
      <c r="L76" s="213"/>
      <c r="M76" s="213"/>
      <c r="N76" s="214"/>
      <c r="O76" s="214"/>
      <c r="P76" s="214"/>
      <c r="Q76" s="214"/>
      <c r="R76" s="214"/>
      <c r="S76" s="214"/>
      <c r="T76" s="214"/>
      <c r="U76" s="214"/>
      <c r="V76" s="214"/>
      <c r="W76" s="214"/>
      <c r="X76" s="214"/>
    </row>
    <row r="77" spans="1:24" s="215" customFormat="1" x14ac:dyDescent="0.35">
      <c r="A77" s="213"/>
      <c r="B77" s="213"/>
      <c r="C77" s="213"/>
      <c r="D77" s="213"/>
      <c r="E77" s="213"/>
      <c r="F77" s="213"/>
      <c r="G77" s="213"/>
      <c r="H77" s="213"/>
      <c r="I77" s="213"/>
      <c r="J77" s="213"/>
      <c r="K77" s="213"/>
      <c r="L77" s="213"/>
      <c r="M77" s="213"/>
      <c r="N77" s="214"/>
      <c r="O77" s="214"/>
      <c r="P77" s="214"/>
      <c r="Q77" s="214"/>
      <c r="R77" s="214"/>
      <c r="S77" s="214"/>
      <c r="T77" s="214"/>
      <c r="U77" s="214"/>
      <c r="V77" s="214"/>
      <c r="W77" s="214"/>
      <c r="X77" s="214"/>
    </row>
    <row r="78" spans="1:24" s="215" customFormat="1" x14ac:dyDescent="0.35">
      <c r="A78" s="213"/>
      <c r="B78" s="213"/>
      <c r="C78" s="213"/>
      <c r="D78" s="213"/>
      <c r="E78" s="213"/>
      <c r="F78" s="213"/>
      <c r="G78" s="213"/>
      <c r="H78" s="213"/>
      <c r="I78" s="213"/>
      <c r="J78" s="213"/>
      <c r="K78" s="213"/>
      <c r="L78" s="213"/>
      <c r="M78" s="213"/>
      <c r="N78" s="214"/>
      <c r="O78" s="214"/>
      <c r="P78" s="214"/>
      <c r="Q78" s="214"/>
      <c r="R78" s="214"/>
      <c r="S78" s="214"/>
      <c r="T78" s="214"/>
      <c r="U78" s="214"/>
      <c r="V78" s="214"/>
      <c r="W78" s="214"/>
      <c r="X78" s="214"/>
    </row>
    <row r="79" spans="1:24" s="215" customFormat="1" x14ac:dyDescent="0.35">
      <c r="A79" s="213"/>
      <c r="B79" s="213"/>
      <c r="C79" s="213"/>
      <c r="D79" s="213"/>
      <c r="E79" s="213"/>
      <c r="F79" s="213"/>
      <c r="G79" s="213"/>
      <c r="H79" s="213"/>
      <c r="I79" s="213"/>
      <c r="J79" s="213"/>
      <c r="K79" s="213"/>
      <c r="L79" s="213"/>
      <c r="M79" s="213"/>
      <c r="N79" s="214"/>
      <c r="O79" s="214"/>
      <c r="P79" s="214"/>
      <c r="Q79" s="214"/>
      <c r="R79" s="214"/>
      <c r="S79" s="214"/>
      <c r="T79" s="214"/>
      <c r="U79" s="214"/>
      <c r="V79" s="214"/>
      <c r="W79" s="214"/>
      <c r="X79" s="214"/>
    </row>
    <row r="80" spans="1:24" s="215" customFormat="1" x14ac:dyDescent="0.35">
      <c r="A80" s="213"/>
      <c r="B80" s="213"/>
      <c r="C80" s="213"/>
      <c r="D80" s="213"/>
      <c r="E80" s="213"/>
      <c r="F80" s="213"/>
      <c r="G80" s="213"/>
      <c r="H80" s="213"/>
      <c r="I80" s="213"/>
      <c r="J80" s="213"/>
      <c r="K80" s="213"/>
      <c r="L80" s="213"/>
      <c r="M80" s="213"/>
      <c r="N80" s="214"/>
      <c r="O80" s="214"/>
      <c r="P80" s="214"/>
      <c r="Q80" s="214"/>
      <c r="R80" s="214"/>
      <c r="S80" s="214"/>
      <c r="T80" s="214"/>
      <c r="U80" s="214"/>
      <c r="V80" s="214"/>
      <c r="W80" s="214"/>
      <c r="X80" s="214"/>
    </row>
    <row r="81" spans="1:24" s="215" customFormat="1" x14ac:dyDescent="0.35">
      <c r="A81" s="213"/>
      <c r="B81" s="213"/>
      <c r="C81" s="213"/>
      <c r="D81" s="213"/>
      <c r="E81" s="213"/>
      <c r="F81" s="213"/>
      <c r="G81" s="213"/>
      <c r="H81" s="213"/>
      <c r="I81" s="213"/>
      <c r="J81" s="213"/>
      <c r="K81" s="213"/>
      <c r="L81" s="213"/>
      <c r="M81" s="213"/>
      <c r="N81" s="214"/>
      <c r="O81" s="214"/>
      <c r="P81" s="214"/>
      <c r="Q81" s="214"/>
      <c r="R81" s="214"/>
      <c r="S81" s="214"/>
      <c r="T81" s="214"/>
      <c r="U81" s="214"/>
      <c r="V81" s="214"/>
      <c r="W81" s="214"/>
      <c r="X81" s="214"/>
    </row>
    <row r="82" spans="1:24" s="215" customFormat="1" x14ac:dyDescent="0.35">
      <c r="A82" s="213"/>
      <c r="B82" s="213"/>
      <c r="C82" s="213"/>
      <c r="D82" s="213"/>
      <c r="E82" s="213"/>
      <c r="F82" s="213"/>
      <c r="G82" s="213"/>
      <c r="H82" s="213"/>
      <c r="I82" s="213"/>
      <c r="J82" s="213"/>
      <c r="K82" s="213"/>
      <c r="L82" s="213"/>
      <c r="M82" s="213"/>
      <c r="N82" s="214"/>
      <c r="O82" s="214"/>
      <c r="P82" s="214"/>
      <c r="Q82" s="214"/>
      <c r="R82" s="214"/>
      <c r="S82" s="214"/>
      <c r="T82" s="214"/>
      <c r="U82" s="214"/>
      <c r="V82" s="214"/>
      <c r="W82" s="214"/>
      <c r="X82" s="214"/>
    </row>
    <row r="83" spans="1:24" s="215" customFormat="1" x14ac:dyDescent="0.35">
      <c r="A83" s="213"/>
      <c r="B83" s="213"/>
      <c r="C83" s="213"/>
      <c r="D83" s="213"/>
      <c r="E83" s="213"/>
      <c r="F83" s="213"/>
      <c r="G83" s="213"/>
      <c r="H83" s="213"/>
      <c r="I83" s="213"/>
      <c r="J83" s="213"/>
      <c r="K83" s="213"/>
      <c r="L83" s="213"/>
      <c r="M83" s="213"/>
      <c r="N83" s="214"/>
      <c r="O83" s="214"/>
      <c r="P83" s="214"/>
      <c r="Q83" s="214"/>
      <c r="R83" s="214"/>
      <c r="S83" s="214"/>
      <c r="T83" s="214"/>
      <c r="U83" s="214"/>
      <c r="V83" s="214"/>
      <c r="W83" s="214"/>
      <c r="X83" s="214"/>
    </row>
    <row r="84" spans="1:24" s="215" customFormat="1" x14ac:dyDescent="0.35">
      <c r="A84" s="213"/>
      <c r="B84" s="213"/>
      <c r="C84" s="213"/>
      <c r="D84" s="213"/>
      <c r="E84" s="213"/>
      <c r="F84" s="213"/>
      <c r="G84" s="213"/>
      <c r="H84" s="213"/>
      <c r="I84" s="213"/>
      <c r="J84" s="213"/>
      <c r="K84" s="213"/>
      <c r="L84" s="213"/>
      <c r="M84" s="213"/>
      <c r="N84" s="214"/>
      <c r="O84" s="214"/>
      <c r="P84" s="214"/>
      <c r="Q84" s="214"/>
      <c r="R84" s="214"/>
      <c r="S84" s="214"/>
      <c r="T84" s="214"/>
      <c r="U84" s="214"/>
      <c r="V84" s="214"/>
      <c r="W84" s="214"/>
      <c r="X84" s="214"/>
    </row>
    <row r="85" spans="1:24" s="215" customFormat="1" x14ac:dyDescent="0.35">
      <c r="A85" s="213"/>
      <c r="B85" s="213"/>
      <c r="C85" s="213"/>
      <c r="D85" s="213"/>
      <c r="E85" s="213"/>
      <c r="F85" s="213"/>
      <c r="G85" s="213"/>
      <c r="H85" s="213"/>
      <c r="I85" s="213"/>
      <c r="J85" s="213"/>
      <c r="K85" s="213"/>
      <c r="L85" s="213"/>
      <c r="M85" s="213"/>
      <c r="N85" s="214"/>
      <c r="O85" s="214"/>
      <c r="P85" s="214"/>
      <c r="Q85" s="214"/>
      <c r="R85" s="214"/>
      <c r="S85" s="214"/>
      <c r="T85" s="214"/>
      <c r="U85" s="214"/>
      <c r="V85" s="214"/>
      <c r="W85" s="214"/>
      <c r="X85" s="214"/>
    </row>
    <row r="86" spans="1:24" s="215" customFormat="1" x14ac:dyDescent="0.35">
      <c r="A86" s="213"/>
      <c r="B86" s="213"/>
      <c r="C86" s="213"/>
      <c r="D86" s="213"/>
      <c r="E86" s="213"/>
      <c r="F86" s="213"/>
      <c r="G86" s="213"/>
      <c r="H86" s="213"/>
      <c r="I86" s="213"/>
      <c r="J86" s="213"/>
      <c r="K86" s="213"/>
      <c r="L86" s="213"/>
      <c r="M86" s="213"/>
      <c r="N86" s="214"/>
      <c r="O86" s="214"/>
      <c r="P86" s="214"/>
      <c r="Q86" s="214"/>
      <c r="R86" s="214"/>
      <c r="S86" s="214"/>
      <c r="T86" s="214"/>
      <c r="U86" s="214"/>
      <c r="V86" s="214"/>
      <c r="W86" s="214"/>
      <c r="X86" s="214"/>
    </row>
    <row r="87" spans="1:24" s="215" customFormat="1" x14ac:dyDescent="0.35">
      <c r="A87" s="213"/>
      <c r="B87" s="213"/>
      <c r="C87" s="213"/>
      <c r="D87" s="213"/>
      <c r="E87" s="213"/>
      <c r="F87" s="213"/>
      <c r="G87" s="213"/>
      <c r="H87" s="213"/>
      <c r="I87" s="213"/>
      <c r="J87" s="213"/>
      <c r="K87" s="213"/>
      <c r="L87" s="213"/>
      <c r="M87" s="213"/>
      <c r="N87" s="214"/>
      <c r="O87" s="214"/>
      <c r="P87" s="214"/>
      <c r="Q87" s="214"/>
      <c r="R87" s="214"/>
      <c r="S87" s="214"/>
      <c r="T87" s="214"/>
      <c r="U87" s="214"/>
      <c r="V87" s="214"/>
      <c r="W87" s="214"/>
      <c r="X87" s="214"/>
    </row>
    <row r="88" spans="1:24" s="215" customFormat="1" x14ac:dyDescent="0.35">
      <c r="A88" s="213"/>
      <c r="B88" s="213"/>
      <c r="C88" s="213"/>
      <c r="D88" s="213"/>
      <c r="E88" s="213"/>
      <c r="F88" s="213"/>
      <c r="G88" s="213"/>
      <c r="H88" s="213"/>
      <c r="I88" s="213"/>
      <c r="J88" s="213"/>
      <c r="K88" s="213"/>
      <c r="L88" s="213"/>
      <c r="M88" s="213"/>
      <c r="N88" s="214"/>
      <c r="O88" s="214"/>
      <c r="P88" s="214"/>
      <c r="Q88" s="214"/>
      <c r="R88" s="214"/>
      <c r="S88" s="214"/>
      <c r="T88" s="214"/>
      <c r="U88" s="214"/>
      <c r="V88" s="214"/>
      <c r="W88" s="214"/>
      <c r="X88" s="214"/>
    </row>
    <row r="89" spans="1:24" s="215" customFormat="1" x14ac:dyDescent="0.35">
      <c r="A89" s="213"/>
      <c r="B89" s="213"/>
      <c r="C89" s="213"/>
      <c r="D89" s="213"/>
      <c r="E89" s="213"/>
      <c r="F89" s="213"/>
      <c r="G89" s="213"/>
      <c r="H89" s="213"/>
      <c r="I89" s="213"/>
      <c r="J89" s="213"/>
      <c r="K89" s="213"/>
      <c r="L89" s="213"/>
      <c r="M89" s="213"/>
      <c r="N89" s="214"/>
      <c r="O89" s="214"/>
      <c r="P89" s="214"/>
      <c r="Q89" s="214"/>
      <c r="R89" s="214"/>
      <c r="S89" s="214"/>
      <c r="T89" s="214"/>
      <c r="U89" s="214"/>
      <c r="V89" s="214"/>
      <c r="W89" s="214"/>
      <c r="X89" s="214"/>
    </row>
    <row r="90" spans="1:24" s="215" customFormat="1" x14ac:dyDescent="0.35">
      <c r="A90" s="213"/>
      <c r="B90" s="213"/>
      <c r="C90" s="213"/>
      <c r="D90" s="213"/>
      <c r="E90" s="213"/>
      <c r="F90" s="213"/>
      <c r="G90" s="213"/>
      <c r="H90" s="213"/>
      <c r="I90" s="213"/>
      <c r="J90" s="213"/>
      <c r="K90" s="213"/>
      <c r="L90" s="213"/>
      <c r="M90" s="213"/>
      <c r="N90" s="214"/>
      <c r="O90" s="214"/>
      <c r="P90" s="214"/>
      <c r="Q90" s="214"/>
      <c r="R90" s="214"/>
      <c r="S90" s="214"/>
      <c r="T90" s="214"/>
      <c r="U90" s="214"/>
      <c r="V90" s="214"/>
      <c r="W90" s="214"/>
      <c r="X90" s="214"/>
    </row>
    <row r="91" spans="1:24" s="215" customFormat="1" x14ac:dyDescent="0.35">
      <c r="A91" s="213"/>
      <c r="B91" s="213"/>
      <c r="C91" s="213"/>
      <c r="D91" s="213"/>
      <c r="E91" s="213"/>
      <c r="F91" s="213"/>
      <c r="G91" s="213"/>
      <c r="H91" s="213"/>
      <c r="I91" s="213"/>
      <c r="J91" s="213"/>
      <c r="K91" s="213"/>
      <c r="L91" s="213"/>
      <c r="M91" s="213"/>
      <c r="N91" s="214"/>
      <c r="O91" s="214"/>
      <c r="P91" s="214"/>
      <c r="Q91" s="214"/>
      <c r="R91" s="214"/>
      <c r="S91" s="214"/>
      <c r="T91" s="214"/>
      <c r="U91" s="214"/>
      <c r="V91" s="214"/>
      <c r="W91" s="214"/>
      <c r="X91" s="214"/>
    </row>
    <row r="92" spans="1:24" s="215" customFormat="1" x14ac:dyDescent="0.35">
      <c r="A92" s="213"/>
      <c r="B92" s="213"/>
      <c r="C92" s="213"/>
      <c r="D92" s="213"/>
      <c r="E92" s="213"/>
      <c r="F92" s="213"/>
      <c r="G92" s="213"/>
      <c r="H92" s="213"/>
      <c r="I92" s="213"/>
      <c r="J92" s="213"/>
      <c r="K92" s="213"/>
      <c r="L92" s="213"/>
      <c r="M92" s="213"/>
      <c r="N92" s="214"/>
      <c r="O92" s="214"/>
      <c r="P92" s="214"/>
      <c r="Q92" s="214"/>
      <c r="R92" s="214"/>
      <c r="S92" s="214"/>
      <c r="T92" s="214"/>
      <c r="U92" s="214"/>
      <c r="V92" s="214"/>
      <c r="W92" s="214"/>
      <c r="X92" s="214"/>
    </row>
    <row r="93" spans="1:24" s="215" customFormat="1" x14ac:dyDescent="0.35">
      <c r="A93" s="213"/>
      <c r="B93" s="213"/>
      <c r="C93" s="213"/>
      <c r="D93" s="213"/>
      <c r="E93" s="213"/>
      <c r="F93" s="213"/>
      <c r="G93" s="213"/>
      <c r="H93" s="213"/>
      <c r="I93" s="213"/>
      <c r="J93" s="213"/>
      <c r="K93" s="213"/>
      <c r="L93" s="213"/>
      <c r="M93" s="213"/>
      <c r="N93" s="214"/>
      <c r="O93" s="214"/>
      <c r="P93" s="214"/>
      <c r="Q93" s="214"/>
      <c r="R93" s="214"/>
      <c r="S93" s="214"/>
      <c r="T93" s="214"/>
      <c r="U93" s="214"/>
      <c r="V93" s="214"/>
      <c r="W93" s="214"/>
      <c r="X93" s="214"/>
    </row>
    <row r="94" spans="1:24" s="215" customFormat="1" x14ac:dyDescent="0.35">
      <c r="A94" s="213"/>
      <c r="B94" s="213"/>
      <c r="C94" s="213"/>
      <c r="D94" s="213"/>
      <c r="E94" s="213"/>
      <c r="F94" s="213"/>
      <c r="G94" s="213"/>
      <c r="H94" s="213"/>
      <c r="I94" s="213"/>
      <c r="J94" s="213"/>
      <c r="K94" s="213"/>
      <c r="L94" s="213"/>
      <c r="M94" s="213"/>
      <c r="N94" s="214"/>
      <c r="O94" s="214"/>
      <c r="P94" s="214"/>
      <c r="Q94" s="214"/>
      <c r="R94" s="214"/>
      <c r="S94" s="214"/>
      <c r="T94" s="214"/>
      <c r="U94" s="214"/>
      <c r="V94" s="214"/>
      <c r="W94" s="214"/>
      <c r="X94" s="214"/>
    </row>
    <row r="95" spans="1:24" s="215" customFormat="1" x14ac:dyDescent="0.35">
      <c r="A95" s="213"/>
      <c r="B95" s="213"/>
      <c r="C95" s="213"/>
      <c r="D95" s="213"/>
      <c r="E95" s="213"/>
      <c r="F95" s="213"/>
      <c r="G95" s="213"/>
      <c r="H95" s="213"/>
      <c r="I95" s="213"/>
      <c r="J95" s="213"/>
      <c r="K95" s="213"/>
      <c r="L95" s="213"/>
      <c r="M95" s="213"/>
      <c r="N95" s="214"/>
      <c r="O95" s="214"/>
      <c r="P95" s="214"/>
      <c r="Q95" s="214"/>
      <c r="R95" s="214"/>
      <c r="S95" s="214"/>
      <c r="T95" s="214"/>
      <c r="U95" s="214"/>
      <c r="V95" s="214"/>
      <c r="W95" s="214"/>
      <c r="X95" s="214"/>
    </row>
    <row r="96" spans="1:24" s="215" customFormat="1" x14ac:dyDescent="0.35">
      <c r="A96" s="213"/>
      <c r="B96" s="213"/>
      <c r="C96" s="213"/>
      <c r="D96" s="213"/>
      <c r="E96" s="213"/>
      <c r="F96" s="213"/>
      <c r="G96" s="213"/>
      <c r="H96" s="213"/>
      <c r="I96" s="213"/>
      <c r="J96" s="213"/>
      <c r="K96" s="213"/>
      <c r="L96" s="213"/>
      <c r="M96" s="213"/>
      <c r="N96" s="214"/>
      <c r="O96" s="214"/>
      <c r="P96" s="214"/>
      <c r="Q96" s="214"/>
      <c r="R96" s="214"/>
      <c r="S96" s="214"/>
      <c r="T96" s="214"/>
      <c r="U96" s="214"/>
      <c r="V96" s="214"/>
      <c r="W96" s="214"/>
      <c r="X96" s="214"/>
    </row>
    <row r="97" spans="1:24" s="215" customFormat="1" x14ac:dyDescent="0.35">
      <c r="A97" s="213"/>
      <c r="B97" s="213"/>
      <c r="C97" s="213"/>
      <c r="D97" s="213"/>
      <c r="E97" s="213"/>
      <c r="F97" s="213"/>
      <c r="G97" s="213"/>
      <c r="H97" s="213"/>
      <c r="I97" s="213"/>
      <c r="J97" s="213"/>
      <c r="K97" s="213"/>
      <c r="L97" s="213"/>
      <c r="M97" s="213"/>
      <c r="N97" s="214"/>
      <c r="O97" s="214"/>
      <c r="P97" s="214"/>
      <c r="Q97" s="214"/>
      <c r="R97" s="214"/>
      <c r="S97" s="214"/>
      <c r="T97" s="214"/>
      <c r="U97" s="214"/>
      <c r="V97" s="214"/>
      <c r="W97" s="214"/>
      <c r="X97" s="214"/>
    </row>
    <row r="98" spans="1:24" s="215" customFormat="1" x14ac:dyDescent="0.35">
      <c r="A98" s="213"/>
      <c r="B98" s="213"/>
      <c r="C98" s="213"/>
      <c r="D98" s="213"/>
      <c r="E98" s="213"/>
      <c r="F98" s="213"/>
      <c r="G98" s="213"/>
      <c r="H98" s="213"/>
      <c r="I98" s="213"/>
      <c r="J98" s="213"/>
      <c r="K98" s="213"/>
      <c r="L98" s="213"/>
      <c r="M98" s="213"/>
      <c r="N98" s="214"/>
      <c r="O98" s="214"/>
      <c r="P98" s="214"/>
      <c r="Q98" s="214"/>
      <c r="R98" s="214"/>
      <c r="S98" s="214"/>
      <c r="T98" s="214"/>
      <c r="U98" s="214"/>
      <c r="V98" s="214"/>
      <c r="W98" s="214"/>
      <c r="X98" s="214"/>
    </row>
    <row r="99" spans="1:24" s="215" customFormat="1" x14ac:dyDescent="0.35">
      <c r="A99" s="213"/>
      <c r="B99" s="213"/>
      <c r="C99" s="213"/>
      <c r="D99" s="213"/>
      <c r="E99" s="213"/>
      <c r="F99" s="213"/>
      <c r="G99" s="213"/>
      <c r="H99" s="213"/>
      <c r="I99" s="213"/>
      <c r="J99" s="213"/>
      <c r="K99" s="213"/>
      <c r="L99" s="213"/>
      <c r="M99" s="213"/>
      <c r="N99" s="214"/>
      <c r="O99" s="214"/>
      <c r="P99" s="214"/>
      <c r="Q99" s="214"/>
      <c r="R99" s="214"/>
      <c r="S99" s="214"/>
      <c r="T99" s="214"/>
      <c r="U99" s="214"/>
      <c r="V99" s="214"/>
      <c r="W99" s="214"/>
      <c r="X99" s="214"/>
    </row>
    <row r="100" spans="1:24" s="215" customFormat="1" x14ac:dyDescent="0.35">
      <c r="A100" s="213"/>
      <c r="B100" s="213"/>
      <c r="C100" s="213"/>
      <c r="D100" s="213"/>
      <c r="E100" s="213"/>
      <c r="F100" s="213"/>
      <c r="G100" s="213"/>
      <c r="H100" s="213"/>
      <c r="I100" s="213"/>
      <c r="J100" s="213"/>
      <c r="K100" s="213"/>
      <c r="L100" s="213"/>
      <c r="M100" s="213"/>
      <c r="N100" s="214"/>
      <c r="O100" s="214"/>
      <c r="P100" s="214"/>
      <c r="Q100" s="214"/>
      <c r="R100" s="214"/>
      <c r="S100" s="214"/>
      <c r="T100" s="214"/>
      <c r="U100" s="214"/>
      <c r="V100" s="214"/>
      <c r="W100" s="214"/>
      <c r="X100" s="214"/>
    </row>
    <row r="101" spans="1:24" s="215" customFormat="1" x14ac:dyDescent="0.35">
      <c r="A101" s="213"/>
      <c r="B101" s="213"/>
      <c r="C101" s="213"/>
      <c r="D101" s="213"/>
      <c r="E101" s="213"/>
      <c r="F101" s="213"/>
      <c r="G101" s="213"/>
      <c r="H101" s="213"/>
      <c r="I101" s="213"/>
      <c r="J101" s="213"/>
      <c r="K101" s="213"/>
      <c r="L101" s="213"/>
      <c r="M101" s="213"/>
      <c r="N101" s="214"/>
      <c r="O101" s="214"/>
      <c r="P101" s="214"/>
      <c r="Q101" s="214"/>
      <c r="R101" s="214"/>
      <c r="S101" s="214"/>
      <c r="T101" s="214"/>
      <c r="U101" s="214"/>
      <c r="V101" s="214"/>
      <c r="W101" s="214"/>
      <c r="X101" s="214"/>
    </row>
    <row r="102" spans="1:24" s="215" customFormat="1" x14ac:dyDescent="0.35">
      <c r="A102" s="213"/>
      <c r="B102" s="213"/>
      <c r="C102" s="213"/>
      <c r="D102" s="213"/>
      <c r="E102" s="213"/>
      <c r="F102" s="213"/>
      <c r="G102" s="213"/>
      <c r="H102" s="213"/>
      <c r="I102" s="213"/>
      <c r="J102" s="213"/>
      <c r="K102" s="213"/>
      <c r="L102" s="213"/>
      <c r="M102" s="213"/>
      <c r="N102" s="214"/>
      <c r="O102" s="214"/>
      <c r="P102" s="214"/>
      <c r="Q102" s="214"/>
      <c r="R102" s="214"/>
      <c r="S102" s="214"/>
      <c r="T102" s="214"/>
      <c r="U102" s="214"/>
      <c r="V102" s="214"/>
      <c r="W102" s="214"/>
      <c r="X102" s="214"/>
    </row>
    <row r="103" spans="1:24" s="215" customFormat="1" x14ac:dyDescent="0.35">
      <c r="A103" s="213"/>
      <c r="B103" s="213"/>
      <c r="C103" s="213"/>
      <c r="D103" s="213"/>
      <c r="E103" s="213"/>
      <c r="F103" s="213"/>
      <c r="G103" s="213"/>
      <c r="H103" s="213"/>
      <c r="I103" s="213"/>
      <c r="J103" s="213"/>
      <c r="K103" s="213"/>
      <c r="L103" s="213"/>
      <c r="M103" s="213"/>
      <c r="N103" s="214"/>
      <c r="O103" s="214"/>
      <c r="P103" s="214"/>
      <c r="Q103" s="214"/>
      <c r="R103" s="214"/>
      <c r="S103" s="214"/>
      <c r="T103" s="214"/>
      <c r="U103" s="214"/>
      <c r="V103" s="214"/>
      <c r="W103" s="214"/>
      <c r="X103" s="214"/>
    </row>
    <row r="104" spans="1:24" s="215" customFormat="1" x14ac:dyDescent="0.35">
      <c r="A104" s="213"/>
      <c r="B104" s="213"/>
      <c r="C104" s="213"/>
      <c r="D104" s="213"/>
      <c r="E104" s="213"/>
      <c r="F104" s="213"/>
      <c r="G104" s="213"/>
      <c r="H104" s="213"/>
      <c r="I104" s="213"/>
      <c r="J104" s="213"/>
      <c r="K104" s="213"/>
      <c r="L104" s="213"/>
      <c r="M104" s="213"/>
      <c r="N104" s="214"/>
      <c r="O104" s="214"/>
      <c r="P104" s="214"/>
      <c r="Q104" s="214"/>
      <c r="R104" s="214"/>
      <c r="S104" s="214"/>
      <c r="T104" s="214"/>
      <c r="U104" s="214"/>
      <c r="V104" s="214"/>
      <c r="W104" s="214"/>
      <c r="X104" s="214"/>
    </row>
    <row r="105" spans="1:24" s="215" customFormat="1" x14ac:dyDescent="0.35">
      <c r="A105" s="213"/>
      <c r="B105" s="213"/>
      <c r="C105" s="213"/>
      <c r="D105" s="213"/>
      <c r="E105" s="213"/>
      <c r="F105" s="213"/>
      <c r="G105" s="213"/>
      <c r="H105" s="213"/>
      <c r="I105" s="213"/>
      <c r="J105" s="213"/>
      <c r="K105" s="213"/>
      <c r="L105" s="213"/>
      <c r="M105" s="213"/>
      <c r="N105" s="214"/>
      <c r="O105" s="214"/>
      <c r="P105" s="214"/>
      <c r="Q105" s="214"/>
      <c r="R105" s="214"/>
      <c r="S105" s="214"/>
      <c r="T105" s="214"/>
      <c r="U105" s="214"/>
      <c r="V105" s="214"/>
      <c r="W105" s="214"/>
      <c r="X105" s="214"/>
    </row>
    <row r="106" spans="1:24" s="215" customFormat="1" x14ac:dyDescent="0.35">
      <c r="A106" s="213"/>
      <c r="B106" s="213"/>
      <c r="C106" s="213"/>
      <c r="D106" s="213"/>
      <c r="E106" s="213"/>
      <c r="F106" s="213"/>
      <c r="G106" s="213"/>
      <c r="H106" s="213"/>
      <c r="I106" s="213"/>
      <c r="J106" s="213"/>
      <c r="K106" s="213"/>
      <c r="L106" s="213"/>
      <c r="M106" s="213"/>
      <c r="N106" s="214"/>
      <c r="O106" s="214"/>
      <c r="P106" s="214"/>
      <c r="Q106" s="214"/>
      <c r="R106" s="214"/>
      <c r="S106" s="214"/>
      <c r="T106" s="214"/>
      <c r="U106" s="214"/>
      <c r="V106" s="214"/>
      <c r="W106" s="214"/>
      <c r="X106" s="214"/>
    </row>
    <row r="107" spans="1:24" s="215" customFormat="1" x14ac:dyDescent="0.35">
      <c r="A107" s="213"/>
      <c r="B107" s="213"/>
      <c r="C107" s="213"/>
      <c r="D107" s="213"/>
      <c r="E107" s="213"/>
      <c r="F107" s="213"/>
      <c r="G107" s="213"/>
      <c r="H107" s="213"/>
      <c r="I107" s="213"/>
      <c r="J107" s="213"/>
      <c r="K107" s="213"/>
      <c r="L107" s="213"/>
      <c r="M107" s="213"/>
      <c r="N107" s="214"/>
      <c r="O107" s="214"/>
      <c r="P107" s="214"/>
      <c r="Q107" s="214"/>
      <c r="R107" s="214"/>
      <c r="S107" s="214"/>
      <c r="T107" s="214"/>
      <c r="U107" s="214"/>
      <c r="V107" s="214"/>
      <c r="W107" s="214"/>
      <c r="X107" s="214"/>
    </row>
    <row r="108" spans="1:24" s="215" customFormat="1" x14ac:dyDescent="0.35">
      <c r="A108" s="213"/>
      <c r="B108" s="213"/>
      <c r="C108" s="213"/>
      <c r="D108" s="213"/>
      <c r="E108" s="213"/>
      <c r="F108" s="213"/>
      <c r="G108" s="213"/>
      <c r="H108" s="213"/>
      <c r="I108" s="213"/>
      <c r="J108" s="213"/>
      <c r="K108" s="213"/>
      <c r="L108" s="213"/>
      <c r="M108" s="213"/>
      <c r="N108" s="214"/>
      <c r="O108" s="214"/>
      <c r="P108" s="214"/>
      <c r="Q108" s="214"/>
      <c r="R108" s="214"/>
      <c r="S108" s="214"/>
      <c r="T108" s="214"/>
      <c r="U108" s="214"/>
      <c r="V108" s="214"/>
      <c r="W108" s="214"/>
      <c r="X108" s="214"/>
    </row>
    <row r="109" spans="1:24" s="215" customFormat="1" x14ac:dyDescent="0.35">
      <c r="A109" s="213"/>
      <c r="B109" s="213"/>
      <c r="C109" s="213"/>
      <c r="D109" s="213"/>
      <c r="E109" s="213"/>
      <c r="F109" s="213"/>
      <c r="G109" s="213"/>
      <c r="H109" s="213"/>
      <c r="I109" s="213"/>
      <c r="J109" s="213"/>
      <c r="K109" s="213"/>
      <c r="L109" s="213"/>
      <c r="M109" s="213"/>
      <c r="N109" s="214"/>
      <c r="O109" s="214"/>
      <c r="P109" s="214"/>
      <c r="Q109" s="214"/>
      <c r="R109" s="214"/>
      <c r="S109" s="214"/>
      <c r="T109" s="214"/>
      <c r="U109" s="214"/>
      <c r="V109" s="214"/>
      <c r="W109" s="214"/>
      <c r="X109" s="214"/>
    </row>
    <row r="110" spans="1:24" s="215" customFormat="1" x14ac:dyDescent="0.35">
      <c r="A110" s="213"/>
      <c r="B110" s="213"/>
      <c r="C110" s="213"/>
      <c r="D110" s="213"/>
      <c r="E110" s="213"/>
      <c r="F110" s="213"/>
      <c r="G110" s="213"/>
      <c r="H110" s="213"/>
      <c r="I110" s="213"/>
      <c r="J110" s="213"/>
      <c r="K110" s="213"/>
      <c r="L110" s="213"/>
      <c r="M110" s="213"/>
      <c r="N110" s="214"/>
      <c r="O110" s="214"/>
      <c r="P110" s="214"/>
      <c r="Q110" s="214"/>
      <c r="R110" s="214"/>
      <c r="S110" s="214"/>
      <c r="T110" s="214"/>
      <c r="U110" s="214"/>
      <c r="V110" s="214"/>
      <c r="W110" s="214"/>
      <c r="X110" s="214"/>
    </row>
    <row r="111" spans="1:24" s="215" customFormat="1" x14ac:dyDescent="0.35">
      <c r="A111" s="213"/>
      <c r="B111" s="213"/>
      <c r="C111" s="213"/>
      <c r="D111" s="213"/>
      <c r="E111" s="213"/>
      <c r="F111" s="213"/>
      <c r="G111" s="213"/>
      <c r="H111" s="213"/>
      <c r="I111" s="213"/>
      <c r="J111" s="213"/>
      <c r="K111" s="213"/>
      <c r="L111" s="213"/>
      <c r="M111" s="213"/>
      <c r="N111" s="214"/>
      <c r="O111" s="214"/>
      <c r="P111" s="214"/>
      <c r="Q111" s="214"/>
      <c r="R111" s="214"/>
      <c r="S111" s="214"/>
      <c r="T111" s="214"/>
      <c r="U111" s="214"/>
      <c r="V111" s="214"/>
      <c r="W111" s="214"/>
      <c r="X111" s="214"/>
    </row>
    <row r="112" spans="1:24" s="215" customFormat="1" x14ac:dyDescent="0.35">
      <c r="A112" s="213"/>
      <c r="B112" s="213"/>
      <c r="C112" s="213"/>
      <c r="D112" s="213"/>
      <c r="E112" s="213"/>
      <c r="F112" s="213"/>
      <c r="G112" s="213"/>
      <c r="H112" s="213"/>
      <c r="I112" s="213"/>
      <c r="J112" s="213"/>
      <c r="K112" s="213"/>
      <c r="L112" s="213"/>
      <c r="M112" s="213"/>
      <c r="N112" s="214"/>
      <c r="O112" s="214"/>
      <c r="P112" s="214"/>
      <c r="Q112" s="214"/>
      <c r="R112" s="214"/>
      <c r="S112" s="214"/>
      <c r="T112" s="214"/>
      <c r="U112" s="214"/>
      <c r="V112" s="214"/>
      <c r="W112" s="214"/>
      <c r="X112" s="214"/>
    </row>
    <row r="113" spans="1:24" s="215" customFormat="1" x14ac:dyDescent="0.35">
      <c r="A113" s="213"/>
      <c r="B113" s="213"/>
      <c r="C113" s="213"/>
      <c r="D113" s="213"/>
      <c r="E113" s="213"/>
      <c r="F113" s="213"/>
      <c r="G113" s="213"/>
      <c r="H113" s="213"/>
      <c r="I113" s="213"/>
      <c r="J113" s="213"/>
      <c r="K113" s="213"/>
      <c r="L113" s="213"/>
      <c r="M113" s="213"/>
      <c r="N113" s="214"/>
      <c r="O113" s="214"/>
      <c r="P113" s="214"/>
      <c r="Q113" s="214"/>
      <c r="R113" s="214"/>
      <c r="S113" s="214"/>
      <c r="T113" s="214"/>
      <c r="U113" s="214"/>
      <c r="V113" s="214"/>
      <c r="W113" s="214"/>
      <c r="X113" s="214"/>
    </row>
    <row r="114" spans="1:24" s="215" customFormat="1" x14ac:dyDescent="0.35">
      <c r="A114" s="213"/>
      <c r="B114" s="213"/>
      <c r="C114" s="213"/>
      <c r="D114" s="213"/>
      <c r="E114" s="213"/>
      <c r="F114" s="213"/>
      <c r="G114" s="213"/>
      <c r="H114" s="213"/>
      <c r="I114" s="213"/>
      <c r="J114" s="213"/>
      <c r="K114" s="213"/>
      <c r="L114" s="213"/>
      <c r="M114" s="213"/>
      <c r="N114" s="214"/>
      <c r="O114" s="214"/>
      <c r="P114" s="214"/>
      <c r="Q114" s="214"/>
      <c r="R114" s="214"/>
      <c r="S114" s="214"/>
      <c r="T114" s="214"/>
      <c r="U114" s="214"/>
      <c r="V114" s="214"/>
      <c r="W114" s="214"/>
      <c r="X114" s="214"/>
    </row>
    <row r="115" spans="1:24" s="215" customFormat="1" x14ac:dyDescent="0.35">
      <c r="A115" s="213"/>
      <c r="B115" s="213"/>
      <c r="C115" s="213"/>
      <c r="D115" s="213"/>
      <c r="E115" s="213"/>
      <c r="F115" s="213"/>
      <c r="G115" s="213"/>
      <c r="H115" s="213"/>
      <c r="I115" s="213"/>
      <c r="J115" s="213"/>
      <c r="K115" s="213"/>
      <c r="L115" s="213"/>
      <c r="M115" s="213"/>
      <c r="N115" s="214"/>
      <c r="O115" s="214"/>
      <c r="P115" s="214"/>
      <c r="Q115" s="214"/>
      <c r="R115" s="214"/>
      <c r="S115" s="214"/>
      <c r="T115" s="214"/>
      <c r="U115" s="214"/>
      <c r="V115" s="214"/>
      <c r="W115" s="214"/>
      <c r="X115" s="214"/>
    </row>
    <row r="116" spans="1:24" s="215" customFormat="1" x14ac:dyDescent="0.35">
      <c r="A116" s="213"/>
      <c r="B116" s="213"/>
      <c r="C116" s="213"/>
      <c r="D116" s="213"/>
      <c r="E116" s="213"/>
      <c r="F116" s="213"/>
      <c r="G116" s="213"/>
      <c r="H116" s="213"/>
      <c r="I116" s="213"/>
      <c r="J116" s="213"/>
      <c r="K116" s="213"/>
      <c r="L116" s="213"/>
      <c r="M116" s="213"/>
      <c r="N116" s="214"/>
      <c r="O116" s="214"/>
      <c r="P116" s="214"/>
      <c r="Q116" s="214"/>
      <c r="R116" s="214"/>
      <c r="S116" s="214"/>
      <c r="T116" s="214"/>
      <c r="U116" s="214"/>
      <c r="V116" s="214"/>
      <c r="W116" s="214"/>
      <c r="X116" s="214"/>
    </row>
    <row r="117" spans="1:24" s="215" customFormat="1" x14ac:dyDescent="0.35">
      <c r="A117" s="213"/>
      <c r="B117" s="213"/>
      <c r="C117" s="213"/>
      <c r="D117" s="213"/>
      <c r="E117" s="213"/>
      <c r="F117" s="213"/>
      <c r="G117" s="213"/>
      <c r="H117" s="213"/>
      <c r="I117" s="213"/>
      <c r="J117" s="213"/>
      <c r="K117" s="213"/>
      <c r="L117" s="213"/>
      <c r="M117" s="213"/>
      <c r="N117" s="214"/>
      <c r="O117" s="214"/>
      <c r="P117" s="214"/>
      <c r="Q117" s="214"/>
      <c r="R117" s="214"/>
      <c r="S117" s="214"/>
      <c r="T117" s="214"/>
      <c r="U117" s="214"/>
      <c r="V117" s="214"/>
      <c r="W117" s="214"/>
      <c r="X117" s="214"/>
    </row>
    <row r="118" spans="1:24" s="215" customFormat="1" x14ac:dyDescent="0.35">
      <c r="A118" s="213"/>
      <c r="B118" s="213"/>
      <c r="C118" s="213"/>
      <c r="D118" s="213"/>
      <c r="E118" s="213"/>
      <c r="F118" s="213"/>
      <c r="G118" s="213"/>
      <c r="H118" s="213"/>
      <c r="I118" s="213"/>
      <c r="J118" s="213"/>
      <c r="K118" s="213"/>
      <c r="L118" s="213"/>
      <c r="M118" s="213"/>
      <c r="N118" s="214"/>
      <c r="O118" s="214"/>
      <c r="P118" s="214"/>
      <c r="Q118" s="214"/>
      <c r="R118" s="214"/>
      <c r="S118" s="214"/>
      <c r="T118" s="214"/>
      <c r="U118" s="214"/>
      <c r="V118" s="214"/>
      <c r="W118" s="214"/>
      <c r="X118" s="214"/>
    </row>
    <row r="119" spans="1:24" s="215" customFormat="1" x14ac:dyDescent="0.35">
      <c r="A119" s="213"/>
      <c r="B119" s="213"/>
      <c r="C119" s="213"/>
      <c r="D119" s="213"/>
      <c r="E119" s="213"/>
      <c r="F119" s="213"/>
      <c r="G119" s="213"/>
      <c r="H119" s="213"/>
      <c r="I119" s="213"/>
      <c r="J119" s="213"/>
      <c r="K119" s="213"/>
      <c r="L119" s="213"/>
      <c r="M119" s="213"/>
      <c r="N119" s="214"/>
      <c r="O119" s="214"/>
      <c r="P119" s="214"/>
      <c r="Q119" s="214"/>
      <c r="R119" s="214"/>
      <c r="S119" s="214"/>
      <c r="T119" s="214"/>
      <c r="U119" s="214"/>
      <c r="V119" s="214"/>
      <c r="W119" s="214"/>
      <c r="X119" s="214"/>
    </row>
    <row r="120" spans="1:24" s="215" customFormat="1" x14ac:dyDescent="0.35">
      <c r="A120" s="213"/>
      <c r="B120" s="213"/>
      <c r="C120" s="213"/>
      <c r="D120" s="213"/>
      <c r="E120" s="213"/>
      <c r="F120" s="213"/>
      <c r="G120" s="213"/>
      <c r="H120" s="213"/>
      <c r="I120" s="213"/>
      <c r="J120" s="213"/>
      <c r="K120" s="213"/>
      <c r="L120" s="213"/>
      <c r="M120" s="213"/>
      <c r="N120" s="214"/>
      <c r="O120" s="214"/>
      <c r="P120" s="214"/>
      <c r="Q120" s="214"/>
      <c r="R120" s="214"/>
      <c r="S120" s="214"/>
      <c r="T120" s="214"/>
      <c r="U120" s="214"/>
      <c r="V120" s="214"/>
      <c r="W120" s="214"/>
      <c r="X120" s="214"/>
    </row>
    <row r="121" spans="1:24" s="215" customFormat="1" x14ac:dyDescent="0.35">
      <c r="A121" s="213"/>
      <c r="B121" s="213"/>
      <c r="C121" s="213"/>
      <c r="D121" s="213"/>
      <c r="E121" s="213"/>
      <c r="F121" s="213"/>
      <c r="G121" s="213"/>
      <c r="H121" s="213"/>
      <c r="I121" s="213"/>
      <c r="J121" s="213"/>
      <c r="K121" s="213"/>
      <c r="L121" s="213"/>
      <c r="M121" s="213"/>
      <c r="N121" s="214"/>
      <c r="O121" s="214"/>
      <c r="P121" s="214"/>
      <c r="Q121" s="214"/>
      <c r="R121" s="214"/>
      <c r="S121" s="214"/>
      <c r="T121" s="214"/>
      <c r="U121" s="214"/>
      <c r="V121" s="214"/>
      <c r="W121" s="214"/>
      <c r="X121" s="214"/>
    </row>
    <row r="122" spans="1:24" s="215" customFormat="1" x14ac:dyDescent="0.35">
      <c r="A122" s="213"/>
      <c r="B122" s="213"/>
      <c r="C122" s="213"/>
      <c r="D122" s="213"/>
      <c r="E122" s="213"/>
      <c r="F122" s="213"/>
      <c r="G122" s="213"/>
      <c r="H122" s="213"/>
      <c r="I122" s="213"/>
      <c r="J122" s="213"/>
      <c r="K122" s="213"/>
      <c r="L122" s="213"/>
      <c r="M122" s="213"/>
      <c r="N122" s="214"/>
      <c r="O122" s="214"/>
      <c r="P122" s="214"/>
      <c r="Q122" s="214"/>
      <c r="R122" s="214"/>
      <c r="S122" s="214"/>
      <c r="T122" s="214"/>
      <c r="U122" s="214"/>
      <c r="V122" s="214"/>
      <c r="W122" s="214"/>
      <c r="X122" s="214"/>
    </row>
    <row r="123" spans="1:24" s="215" customFormat="1" x14ac:dyDescent="0.35">
      <c r="A123" s="213"/>
      <c r="B123" s="213"/>
      <c r="C123" s="213"/>
      <c r="D123" s="213"/>
      <c r="E123" s="213"/>
      <c r="F123" s="213"/>
      <c r="G123" s="213"/>
      <c r="H123" s="213"/>
      <c r="I123" s="213"/>
      <c r="J123" s="213"/>
      <c r="K123" s="213"/>
      <c r="L123" s="213"/>
      <c r="M123" s="213"/>
      <c r="N123" s="214"/>
      <c r="O123" s="214"/>
      <c r="P123" s="214"/>
      <c r="Q123" s="214"/>
      <c r="R123" s="214"/>
      <c r="S123" s="214"/>
      <c r="T123" s="214"/>
      <c r="U123" s="214"/>
      <c r="V123" s="214"/>
      <c r="W123" s="214"/>
      <c r="X123" s="214"/>
    </row>
    <row r="124" spans="1:24" s="215" customFormat="1" x14ac:dyDescent="0.35">
      <c r="A124" s="213"/>
      <c r="B124" s="213"/>
      <c r="C124" s="213"/>
      <c r="D124" s="213"/>
      <c r="E124" s="213"/>
      <c r="F124" s="213"/>
      <c r="G124" s="213"/>
      <c r="H124" s="213"/>
      <c r="I124" s="213"/>
      <c r="J124" s="213"/>
      <c r="K124" s="213"/>
      <c r="L124" s="213"/>
      <c r="M124" s="213"/>
      <c r="N124" s="214"/>
      <c r="O124" s="214"/>
      <c r="P124" s="214"/>
      <c r="Q124" s="214"/>
      <c r="R124" s="214"/>
      <c r="S124" s="214"/>
      <c r="T124" s="214"/>
      <c r="U124" s="214"/>
      <c r="V124" s="214"/>
      <c r="W124" s="214"/>
      <c r="X124" s="214"/>
    </row>
    <row r="125" spans="1:24" s="215" customFormat="1" x14ac:dyDescent="0.35">
      <c r="A125" s="213"/>
      <c r="B125" s="213"/>
      <c r="C125" s="213"/>
      <c r="D125" s="213"/>
      <c r="E125" s="213"/>
      <c r="F125" s="213"/>
      <c r="G125" s="213"/>
      <c r="H125" s="213"/>
      <c r="I125" s="213"/>
      <c r="J125" s="213"/>
      <c r="K125" s="213"/>
      <c r="L125" s="213"/>
      <c r="M125" s="213"/>
      <c r="N125" s="214"/>
      <c r="O125" s="214"/>
      <c r="P125" s="214"/>
      <c r="Q125" s="214"/>
      <c r="R125" s="214"/>
      <c r="S125" s="214"/>
      <c r="T125" s="214"/>
      <c r="U125" s="214"/>
      <c r="V125" s="214"/>
      <c r="W125" s="214"/>
      <c r="X125" s="214"/>
    </row>
    <row r="126" spans="1:24" s="215" customFormat="1" x14ac:dyDescent="0.35">
      <c r="A126" s="213"/>
      <c r="B126" s="213"/>
      <c r="C126" s="213"/>
      <c r="D126" s="213"/>
      <c r="E126" s="213"/>
      <c r="F126" s="213"/>
      <c r="G126" s="213"/>
      <c r="H126" s="213"/>
      <c r="I126" s="213"/>
      <c r="J126" s="213"/>
      <c r="K126" s="213"/>
      <c r="L126" s="213"/>
      <c r="M126" s="213"/>
      <c r="N126" s="214"/>
      <c r="O126" s="214"/>
      <c r="P126" s="214"/>
      <c r="Q126" s="214"/>
      <c r="R126" s="214"/>
      <c r="S126" s="214"/>
      <c r="T126" s="214"/>
      <c r="U126" s="214"/>
      <c r="V126" s="214"/>
      <c r="W126" s="214"/>
      <c r="X126" s="214"/>
    </row>
    <row r="127" spans="1:24" s="215" customFormat="1" x14ac:dyDescent="0.35">
      <c r="A127" s="213"/>
      <c r="B127" s="213"/>
      <c r="C127" s="213"/>
      <c r="D127" s="213"/>
      <c r="E127" s="213"/>
      <c r="F127" s="213"/>
      <c r="G127" s="213"/>
      <c r="H127" s="213"/>
      <c r="I127" s="213"/>
      <c r="J127" s="213"/>
      <c r="K127" s="213"/>
      <c r="L127" s="213"/>
      <c r="M127" s="213"/>
      <c r="N127" s="214"/>
      <c r="O127" s="214"/>
      <c r="P127" s="214"/>
      <c r="Q127" s="214"/>
      <c r="R127" s="214"/>
      <c r="S127" s="214"/>
      <c r="T127" s="214"/>
      <c r="U127" s="214"/>
      <c r="V127" s="214"/>
      <c r="W127" s="214"/>
      <c r="X127" s="214"/>
    </row>
    <row r="128" spans="1:24" s="215" customFormat="1" x14ac:dyDescent="0.35">
      <c r="A128" s="213"/>
      <c r="B128" s="213"/>
      <c r="C128" s="213"/>
      <c r="D128" s="213"/>
      <c r="E128" s="213"/>
      <c r="F128" s="213"/>
      <c r="G128" s="213"/>
      <c r="H128" s="213"/>
      <c r="I128" s="213"/>
      <c r="J128" s="213"/>
      <c r="K128" s="213"/>
      <c r="L128" s="213"/>
      <c r="M128" s="213"/>
      <c r="N128" s="214"/>
      <c r="O128" s="214"/>
      <c r="P128" s="214"/>
      <c r="Q128" s="214"/>
      <c r="R128" s="214"/>
      <c r="S128" s="214"/>
      <c r="T128" s="214"/>
      <c r="U128" s="214"/>
      <c r="V128" s="214"/>
      <c r="W128" s="214"/>
      <c r="X128" s="214"/>
    </row>
    <row r="129" spans="1:24" s="215" customFormat="1" x14ac:dyDescent="0.35">
      <c r="A129" s="213"/>
      <c r="B129" s="213"/>
      <c r="C129" s="213"/>
      <c r="D129" s="213"/>
      <c r="E129" s="213"/>
      <c r="F129" s="213"/>
      <c r="G129" s="213"/>
      <c r="H129" s="213"/>
      <c r="I129" s="213"/>
      <c r="J129" s="213"/>
      <c r="K129" s="213"/>
      <c r="L129" s="213"/>
      <c r="M129" s="213"/>
      <c r="N129" s="214"/>
      <c r="O129" s="214"/>
      <c r="P129" s="214"/>
      <c r="Q129" s="214"/>
      <c r="R129" s="214"/>
      <c r="S129" s="214"/>
      <c r="T129" s="214"/>
      <c r="U129" s="214"/>
      <c r="V129" s="214"/>
      <c r="W129" s="214"/>
      <c r="X129" s="214"/>
    </row>
    <row r="130" spans="1:24" s="215" customFormat="1" x14ac:dyDescent="0.35">
      <c r="A130" s="213"/>
      <c r="B130" s="213"/>
      <c r="C130" s="213"/>
      <c r="D130" s="213"/>
      <c r="E130" s="213"/>
      <c r="F130" s="213"/>
      <c r="G130" s="213"/>
      <c r="H130" s="213"/>
      <c r="I130" s="213"/>
      <c r="J130" s="213"/>
      <c r="K130" s="213"/>
      <c r="L130" s="213"/>
      <c r="M130" s="213"/>
      <c r="N130" s="214"/>
      <c r="O130" s="214"/>
      <c r="P130" s="214"/>
      <c r="Q130" s="214"/>
      <c r="R130" s="214"/>
      <c r="S130" s="214"/>
      <c r="T130" s="214"/>
      <c r="U130" s="214"/>
      <c r="V130" s="214"/>
      <c r="W130" s="214"/>
      <c r="X130" s="214"/>
    </row>
    <row r="131" spans="1:24" s="215" customFormat="1" x14ac:dyDescent="0.35">
      <c r="A131" s="213"/>
      <c r="B131" s="213"/>
      <c r="C131" s="213"/>
      <c r="D131" s="213"/>
      <c r="E131" s="213"/>
      <c r="F131" s="213"/>
      <c r="G131" s="213"/>
      <c r="H131" s="213"/>
      <c r="I131" s="213"/>
      <c r="J131" s="213"/>
      <c r="K131" s="213"/>
      <c r="L131" s="213"/>
      <c r="M131" s="213"/>
      <c r="N131" s="214"/>
      <c r="O131" s="214"/>
      <c r="P131" s="214"/>
      <c r="Q131" s="214"/>
      <c r="R131" s="214"/>
      <c r="S131" s="214"/>
      <c r="T131" s="214"/>
      <c r="U131" s="214"/>
      <c r="V131" s="214"/>
      <c r="W131" s="214"/>
      <c r="X131" s="214"/>
    </row>
    <row r="132" spans="1:24" s="215" customFormat="1" x14ac:dyDescent="0.35">
      <c r="A132" s="213"/>
      <c r="B132" s="213"/>
      <c r="C132" s="213"/>
      <c r="D132" s="213"/>
      <c r="E132" s="213"/>
      <c r="F132" s="213"/>
      <c r="G132" s="213"/>
      <c r="H132" s="213"/>
      <c r="I132" s="213"/>
      <c r="J132" s="213"/>
      <c r="K132" s="213"/>
      <c r="L132" s="213"/>
      <c r="M132" s="213"/>
      <c r="N132" s="214"/>
      <c r="O132" s="214"/>
      <c r="P132" s="214"/>
      <c r="Q132" s="214"/>
      <c r="R132" s="214"/>
      <c r="S132" s="214"/>
      <c r="T132" s="214"/>
      <c r="U132" s="214"/>
      <c r="V132" s="214"/>
      <c r="W132" s="214"/>
      <c r="X132" s="214"/>
    </row>
    <row r="133" spans="1:24" s="215" customFormat="1" x14ac:dyDescent="0.35">
      <c r="A133" s="213"/>
      <c r="B133" s="213"/>
      <c r="C133" s="213"/>
      <c r="D133" s="213"/>
      <c r="E133" s="213"/>
      <c r="F133" s="213"/>
      <c r="G133" s="213"/>
      <c r="H133" s="213"/>
      <c r="I133" s="213"/>
      <c r="J133" s="213"/>
      <c r="K133" s="213"/>
      <c r="L133" s="213"/>
      <c r="M133" s="213"/>
      <c r="N133" s="214"/>
      <c r="O133" s="214"/>
      <c r="P133" s="214"/>
      <c r="Q133" s="214"/>
      <c r="R133" s="214"/>
      <c r="S133" s="214"/>
      <c r="T133" s="214"/>
      <c r="U133" s="214"/>
      <c r="V133" s="214"/>
      <c r="W133" s="214"/>
      <c r="X133" s="214"/>
    </row>
    <row r="134" spans="1:24" s="215" customFormat="1" x14ac:dyDescent="0.35">
      <c r="A134" s="213"/>
      <c r="B134" s="213"/>
      <c r="C134" s="213"/>
      <c r="D134" s="213"/>
      <c r="E134" s="213"/>
      <c r="F134" s="213"/>
      <c r="G134" s="213"/>
      <c r="H134" s="213"/>
      <c r="I134" s="213"/>
      <c r="J134" s="213"/>
      <c r="K134" s="213"/>
      <c r="L134" s="213"/>
      <c r="M134" s="213"/>
      <c r="N134" s="214"/>
      <c r="O134" s="214"/>
      <c r="P134" s="214"/>
      <c r="Q134" s="214"/>
      <c r="R134" s="214"/>
      <c r="S134" s="214"/>
      <c r="T134" s="214"/>
      <c r="U134" s="214"/>
      <c r="V134" s="214"/>
      <c r="W134" s="214"/>
      <c r="X134" s="214"/>
    </row>
    <row r="135" spans="1:24" s="215" customFormat="1" x14ac:dyDescent="0.35">
      <c r="A135" s="213"/>
      <c r="B135" s="213"/>
      <c r="C135" s="213"/>
      <c r="D135" s="213"/>
      <c r="E135" s="213"/>
      <c r="F135" s="213"/>
      <c r="G135" s="213"/>
      <c r="H135" s="213"/>
      <c r="I135" s="213"/>
      <c r="J135" s="213"/>
      <c r="K135" s="213"/>
      <c r="L135" s="213"/>
      <c r="M135" s="213"/>
      <c r="N135" s="214"/>
      <c r="O135" s="214"/>
      <c r="P135" s="214"/>
      <c r="Q135" s="214"/>
      <c r="R135" s="214"/>
      <c r="S135" s="214"/>
      <c r="T135" s="214"/>
      <c r="U135" s="214"/>
      <c r="V135" s="214"/>
      <c r="W135" s="214"/>
      <c r="X135" s="214"/>
    </row>
    <row r="136" spans="1:24" s="215" customFormat="1" x14ac:dyDescent="0.35">
      <c r="A136" s="213"/>
      <c r="B136" s="213"/>
      <c r="C136" s="213"/>
      <c r="D136" s="213"/>
      <c r="E136" s="213"/>
      <c r="F136" s="213"/>
      <c r="G136" s="213"/>
      <c r="H136" s="213"/>
      <c r="I136" s="213"/>
      <c r="J136" s="213"/>
      <c r="K136" s="213"/>
      <c r="L136" s="213"/>
      <c r="M136" s="213"/>
      <c r="N136" s="214"/>
      <c r="O136" s="214"/>
      <c r="P136" s="214"/>
      <c r="Q136" s="214"/>
      <c r="R136" s="214"/>
      <c r="S136" s="214"/>
      <c r="T136" s="214"/>
      <c r="U136" s="214"/>
      <c r="V136" s="214"/>
      <c r="W136" s="214"/>
      <c r="X136" s="214"/>
    </row>
    <row r="137" spans="1:24" s="215" customFormat="1" x14ac:dyDescent="0.35">
      <c r="A137" s="213"/>
      <c r="B137" s="213"/>
      <c r="C137" s="213"/>
      <c r="D137" s="213"/>
      <c r="E137" s="213"/>
      <c r="F137" s="213"/>
      <c r="G137" s="213"/>
      <c r="H137" s="213"/>
      <c r="I137" s="213"/>
      <c r="J137" s="213"/>
      <c r="K137" s="213"/>
      <c r="L137" s="213"/>
      <c r="M137" s="213"/>
      <c r="N137" s="214"/>
      <c r="O137" s="214"/>
      <c r="P137" s="214"/>
      <c r="Q137" s="214"/>
      <c r="R137" s="214"/>
      <c r="S137" s="214"/>
      <c r="T137" s="214"/>
      <c r="U137" s="214"/>
      <c r="V137" s="214"/>
      <c r="W137" s="214"/>
      <c r="X137" s="214"/>
    </row>
    <row r="138" spans="1:24" s="215" customFormat="1" x14ac:dyDescent="0.35">
      <c r="A138" s="213"/>
      <c r="B138" s="213"/>
      <c r="C138" s="213"/>
      <c r="D138" s="213"/>
      <c r="E138" s="213"/>
      <c r="F138" s="213"/>
      <c r="G138" s="213"/>
      <c r="H138" s="213"/>
      <c r="I138" s="213"/>
      <c r="J138" s="213"/>
      <c r="K138" s="213"/>
      <c r="L138" s="213"/>
      <c r="M138" s="213"/>
      <c r="N138" s="214"/>
      <c r="O138" s="214"/>
      <c r="P138" s="214"/>
      <c r="Q138" s="214"/>
      <c r="R138" s="214"/>
      <c r="S138" s="214"/>
      <c r="T138" s="214"/>
      <c r="U138" s="214"/>
      <c r="V138" s="214"/>
      <c r="W138" s="214"/>
      <c r="X138" s="214"/>
    </row>
    <row r="139" spans="1:24" s="215" customFormat="1" x14ac:dyDescent="0.35">
      <c r="A139" s="213"/>
      <c r="B139" s="213"/>
      <c r="C139" s="213"/>
      <c r="D139" s="213"/>
      <c r="E139" s="213"/>
      <c r="F139" s="213"/>
      <c r="G139" s="213"/>
      <c r="H139" s="213"/>
      <c r="I139" s="213"/>
      <c r="J139" s="213"/>
      <c r="K139" s="213"/>
      <c r="L139" s="213"/>
      <c r="M139" s="213"/>
      <c r="N139" s="214"/>
      <c r="O139" s="214"/>
      <c r="P139" s="214"/>
      <c r="Q139" s="214"/>
      <c r="R139" s="214"/>
      <c r="S139" s="214"/>
      <c r="T139" s="214"/>
      <c r="U139" s="214"/>
      <c r="V139" s="214"/>
      <c r="W139" s="214"/>
      <c r="X139" s="214"/>
    </row>
    <row r="140" spans="1:24" s="215" customFormat="1" x14ac:dyDescent="0.35">
      <c r="A140" s="213"/>
      <c r="B140" s="213"/>
      <c r="C140" s="213"/>
      <c r="D140" s="213"/>
      <c r="E140" s="213"/>
      <c r="F140" s="213"/>
      <c r="G140" s="213"/>
      <c r="H140" s="213"/>
      <c r="I140" s="213"/>
      <c r="J140" s="213"/>
      <c r="K140" s="213"/>
      <c r="L140" s="213"/>
      <c r="M140" s="213"/>
      <c r="N140" s="214"/>
      <c r="O140" s="214"/>
      <c r="P140" s="214"/>
      <c r="Q140" s="214"/>
      <c r="R140" s="214"/>
      <c r="S140" s="214"/>
      <c r="T140" s="214"/>
      <c r="U140" s="214"/>
      <c r="V140" s="214"/>
      <c r="W140" s="214"/>
      <c r="X140" s="214"/>
    </row>
    <row r="141" spans="1:24" s="215" customFormat="1" x14ac:dyDescent="0.35">
      <c r="A141" s="213"/>
      <c r="B141" s="213"/>
      <c r="C141" s="213"/>
      <c r="D141" s="213"/>
      <c r="E141" s="213"/>
      <c r="F141" s="213"/>
      <c r="G141" s="213"/>
      <c r="H141" s="213"/>
      <c r="I141" s="213"/>
      <c r="J141" s="213"/>
      <c r="K141" s="213"/>
      <c r="L141" s="213"/>
      <c r="M141" s="213"/>
      <c r="N141" s="214"/>
      <c r="O141" s="214"/>
      <c r="P141" s="214"/>
      <c r="Q141" s="214"/>
      <c r="R141" s="214"/>
      <c r="S141" s="214"/>
      <c r="T141" s="214"/>
      <c r="U141" s="214"/>
      <c r="V141" s="214"/>
      <c r="W141" s="214"/>
      <c r="X141" s="214"/>
    </row>
    <row r="142" spans="1:24" s="215" customFormat="1" x14ac:dyDescent="0.35">
      <c r="A142" s="213"/>
      <c r="B142" s="213"/>
      <c r="C142" s="213"/>
      <c r="D142" s="213"/>
      <c r="E142" s="213"/>
      <c r="F142" s="213"/>
      <c r="G142" s="213"/>
      <c r="H142" s="213"/>
      <c r="I142" s="213"/>
      <c r="J142" s="213"/>
      <c r="K142" s="213"/>
      <c r="L142" s="213"/>
      <c r="M142" s="213"/>
      <c r="N142" s="214"/>
      <c r="O142" s="214"/>
      <c r="P142" s="214"/>
      <c r="Q142" s="214"/>
      <c r="R142" s="214"/>
      <c r="S142" s="214"/>
      <c r="T142" s="214"/>
      <c r="U142" s="214"/>
      <c r="V142" s="214"/>
      <c r="W142" s="214"/>
      <c r="X142" s="214"/>
    </row>
    <row r="143" spans="1:24" s="215" customFormat="1" x14ac:dyDescent="0.35">
      <c r="A143" s="213"/>
      <c r="B143" s="213"/>
      <c r="C143" s="213"/>
      <c r="D143" s="213"/>
      <c r="E143" s="213"/>
      <c r="F143" s="213"/>
      <c r="G143" s="213"/>
      <c r="H143" s="213"/>
      <c r="I143" s="213"/>
      <c r="J143" s="213"/>
      <c r="K143" s="213"/>
      <c r="L143" s="213"/>
      <c r="M143" s="213"/>
      <c r="N143" s="214"/>
      <c r="O143" s="214"/>
      <c r="P143" s="214"/>
      <c r="Q143" s="214"/>
      <c r="R143" s="214"/>
      <c r="S143" s="214"/>
      <c r="T143" s="214"/>
      <c r="U143" s="214"/>
      <c r="V143" s="214"/>
      <c r="W143" s="214"/>
      <c r="X143" s="214"/>
    </row>
    <row r="144" spans="1:24" s="215" customFormat="1" x14ac:dyDescent="0.35">
      <c r="A144" s="213"/>
      <c r="B144" s="213"/>
      <c r="C144" s="213"/>
      <c r="D144" s="213"/>
      <c r="E144" s="213"/>
      <c r="F144" s="213"/>
      <c r="G144" s="213"/>
      <c r="H144" s="213"/>
      <c r="I144" s="213"/>
      <c r="J144" s="213"/>
      <c r="K144" s="213"/>
      <c r="L144" s="213"/>
      <c r="M144" s="213"/>
      <c r="N144" s="214"/>
      <c r="O144" s="214"/>
      <c r="P144" s="214"/>
      <c r="Q144" s="214"/>
      <c r="R144" s="214"/>
      <c r="S144" s="214"/>
      <c r="T144" s="214"/>
      <c r="U144" s="214"/>
      <c r="V144" s="214"/>
      <c r="W144" s="214"/>
      <c r="X144" s="214"/>
    </row>
    <row r="145" spans="1:24" s="215" customFormat="1" x14ac:dyDescent="0.35">
      <c r="A145" s="213"/>
      <c r="B145" s="213"/>
      <c r="C145" s="213"/>
      <c r="D145" s="213"/>
      <c r="E145" s="213"/>
      <c r="F145" s="213"/>
      <c r="G145" s="213"/>
      <c r="H145" s="213"/>
      <c r="I145" s="213"/>
      <c r="J145" s="213"/>
      <c r="K145" s="213"/>
      <c r="L145" s="213"/>
      <c r="M145" s="213"/>
      <c r="N145" s="214"/>
      <c r="O145" s="214"/>
      <c r="P145" s="214"/>
      <c r="Q145" s="214"/>
      <c r="R145" s="214"/>
      <c r="S145" s="214"/>
      <c r="T145" s="214"/>
      <c r="U145" s="214"/>
      <c r="V145" s="214"/>
      <c r="W145" s="214"/>
      <c r="X145" s="214"/>
    </row>
    <row r="146" spans="1:24" s="215" customFormat="1" x14ac:dyDescent="0.35">
      <c r="A146" s="213"/>
      <c r="B146" s="213"/>
      <c r="C146" s="213"/>
      <c r="D146" s="213"/>
      <c r="E146" s="213"/>
      <c r="F146" s="213"/>
      <c r="G146" s="213"/>
      <c r="H146" s="213"/>
      <c r="I146" s="213"/>
      <c r="J146" s="213"/>
      <c r="K146" s="213"/>
      <c r="L146" s="213"/>
      <c r="M146" s="213"/>
      <c r="N146" s="214"/>
      <c r="O146" s="214"/>
      <c r="P146" s="214"/>
      <c r="Q146" s="214"/>
      <c r="R146" s="214"/>
      <c r="S146" s="214"/>
      <c r="T146" s="214"/>
      <c r="U146" s="214"/>
      <c r="V146" s="214"/>
      <c r="W146" s="214"/>
      <c r="X146" s="214"/>
    </row>
    <row r="147" spans="1:24" s="215" customFormat="1" x14ac:dyDescent="0.35">
      <c r="A147" s="213"/>
      <c r="B147" s="213"/>
      <c r="C147" s="213"/>
      <c r="D147" s="213"/>
      <c r="E147" s="213"/>
      <c r="F147" s="213"/>
      <c r="G147" s="213"/>
      <c r="H147" s="213"/>
      <c r="I147" s="213"/>
      <c r="J147" s="213"/>
      <c r="K147" s="213"/>
      <c r="L147" s="213"/>
      <c r="M147" s="213"/>
      <c r="N147" s="214"/>
      <c r="O147" s="214"/>
      <c r="P147" s="214"/>
      <c r="Q147" s="214"/>
      <c r="R147" s="214"/>
      <c r="S147" s="214"/>
      <c r="T147" s="214"/>
      <c r="U147" s="214"/>
      <c r="V147" s="214"/>
      <c r="W147" s="214"/>
      <c r="X147" s="214"/>
    </row>
    <row r="148" spans="1:24" s="215" customFormat="1" x14ac:dyDescent="0.35">
      <c r="A148" s="213"/>
      <c r="B148" s="213"/>
      <c r="C148" s="213"/>
      <c r="D148" s="213"/>
      <c r="E148" s="213"/>
      <c r="F148" s="213"/>
      <c r="G148" s="213"/>
      <c r="H148" s="213"/>
      <c r="I148" s="213"/>
      <c r="J148" s="213"/>
      <c r="K148" s="213"/>
      <c r="L148" s="213"/>
      <c r="M148" s="213"/>
      <c r="N148" s="214"/>
      <c r="O148" s="214"/>
      <c r="P148" s="214"/>
      <c r="Q148" s="214"/>
      <c r="R148" s="214"/>
      <c r="S148" s="214"/>
      <c r="T148" s="214"/>
      <c r="U148" s="214"/>
      <c r="V148" s="214"/>
      <c r="W148" s="214"/>
      <c r="X148" s="214"/>
    </row>
    <row r="149" spans="1:24" s="215" customFormat="1" x14ac:dyDescent="0.35">
      <c r="A149" s="213"/>
      <c r="B149" s="213"/>
      <c r="C149" s="213"/>
      <c r="D149" s="213"/>
      <c r="E149" s="213"/>
      <c r="F149" s="213"/>
      <c r="G149" s="213"/>
      <c r="H149" s="213"/>
      <c r="I149" s="213"/>
      <c r="J149" s="213"/>
      <c r="K149" s="213"/>
      <c r="L149" s="213"/>
      <c r="M149" s="213"/>
      <c r="N149" s="214"/>
      <c r="O149" s="214"/>
      <c r="P149" s="214"/>
      <c r="Q149" s="214"/>
      <c r="R149" s="214"/>
      <c r="S149" s="214"/>
      <c r="T149" s="214"/>
      <c r="U149" s="214"/>
      <c r="V149" s="214"/>
      <c r="W149" s="214"/>
      <c r="X149" s="214"/>
    </row>
    <row r="150" spans="1:24" s="215" customFormat="1" x14ac:dyDescent="0.35">
      <c r="A150" s="213"/>
      <c r="B150" s="213"/>
      <c r="C150" s="213"/>
      <c r="D150" s="213"/>
      <c r="E150" s="213"/>
      <c r="F150" s="213"/>
      <c r="G150" s="213"/>
      <c r="H150" s="213"/>
      <c r="I150" s="213"/>
      <c r="J150" s="213"/>
      <c r="K150" s="213"/>
      <c r="L150" s="213"/>
      <c r="M150" s="213"/>
      <c r="N150" s="214"/>
      <c r="O150" s="214"/>
      <c r="P150" s="214"/>
      <c r="Q150" s="214"/>
      <c r="R150" s="214"/>
      <c r="S150" s="214"/>
      <c r="T150" s="214"/>
      <c r="U150" s="214"/>
      <c r="V150" s="214"/>
      <c r="W150" s="214"/>
      <c r="X150" s="214"/>
    </row>
    <row r="151" spans="1:24" s="215" customFormat="1" x14ac:dyDescent="0.35">
      <c r="A151" s="213"/>
      <c r="B151" s="213"/>
      <c r="C151" s="213"/>
      <c r="D151" s="213"/>
      <c r="E151" s="213"/>
      <c r="F151" s="213"/>
      <c r="G151" s="213"/>
      <c r="H151" s="213"/>
      <c r="I151" s="213"/>
      <c r="J151" s="213"/>
      <c r="K151" s="213"/>
      <c r="L151" s="213"/>
      <c r="M151" s="213"/>
      <c r="N151" s="214"/>
      <c r="O151" s="214"/>
      <c r="P151" s="214"/>
      <c r="Q151" s="214"/>
      <c r="R151" s="214"/>
      <c r="S151" s="214"/>
      <c r="T151" s="214"/>
      <c r="U151" s="214"/>
      <c r="V151" s="214"/>
      <c r="W151" s="214"/>
      <c r="X151" s="214"/>
    </row>
    <row r="152" spans="1:24" s="215" customFormat="1" x14ac:dyDescent="0.35">
      <c r="A152" s="213"/>
      <c r="B152" s="213"/>
      <c r="C152" s="213"/>
      <c r="D152" s="213"/>
      <c r="E152" s="213"/>
      <c r="F152" s="213"/>
      <c r="G152" s="213"/>
      <c r="H152" s="213"/>
      <c r="I152" s="213"/>
      <c r="J152" s="213"/>
      <c r="K152" s="213"/>
      <c r="L152" s="213"/>
      <c r="M152" s="213"/>
      <c r="N152" s="214"/>
      <c r="O152" s="214"/>
      <c r="P152" s="214"/>
      <c r="Q152" s="214"/>
      <c r="R152" s="214"/>
      <c r="S152" s="214"/>
      <c r="T152" s="214"/>
      <c r="U152" s="214"/>
      <c r="V152" s="214"/>
      <c r="W152" s="214"/>
      <c r="X152" s="214"/>
    </row>
    <row r="153" spans="1:24" s="215" customFormat="1" x14ac:dyDescent="0.35">
      <c r="A153" s="213"/>
      <c r="B153" s="213"/>
      <c r="C153" s="213"/>
      <c r="D153" s="213"/>
      <c r="E153" s="213"/>
      <c r="F153" s="213"/>
      <c r="G153" s="213"/>
      <c r="H153" s="213"/>
      <c r="I153" s="213"/>
      <c r="J153" s="213"/>
      <c r="K153" s="213"/>
      <c r="L153" s="213"/>
      <c r="M153" s="213"/>
      <c r="N153" s="214"/>
      <c r="O153" s="214"/>
      <c r="P153" s="214"/>
      <c r="Q153" s="214"/>
      <c r="R153" s="214"/>
      <c r="S153" s="214"/>
      <c r="T153" s="214"/>
      <c r="U153" s="214"/>
      <c r="V153" s="214"/>
      <c r="W153" s="214"/>
      <c r="X153" s="214"/>
    </row>
    <row r="154" spans="1:24" s="215" customFormat="1" x14ac:dyDescent="0.35">
      <c r="A154" s="213"/>
      <c r="B154" s="213"/>
      <c r="C154" s="213"/>
      <c r="D154" s="213"/>
      <c r="E154" s="213"/>
      <c r="F154" s="213"/>
      <c r="G154" s="213"/>
      <c r="H154" s="213"/>
      <c r="I154" s="213"/>
      <c r="J154" s="213"/>
      <c r="K154" s="213"/>
      <c r="L154" s="213"/>
      <c r="M154" s="213"/>
      <c r="N154" s="214"/>
      <c r="O154" s="214"/>
      <c r="P154" s="214"/>
      <c r="Q154" s="214"/>
      <c r="R154" s="214"/>
      <c r="S154" s="214"/>
      <c r="T154" s="214"/>
      <c r="U154" s="214"/>
      <c r="V154" s="214"/>
      <c r="W154" s="214"/>
      <c r="X154" s="214"/>
    </row>
    <row r="155" spans="1:24" s="215" customFormat="1" x14ac:dyDescent="0.35">
      <c r="A155" s="213"/>
      <c r="B155" s="213"/>
      <c r="C155" s="213"/>
      <c r="D155" s="213"/>
      <c r="E155" s="213"/>
      <c r="F155" s="213"/>
      <c r="G155" s="213"/>
      <c r="H155" s="213"/>
      <c r="I155" s="213"/>
      <c r="J155" s="213"/>
      <c r="K155" s="213"/>
      <c r="L155" s="213"/>
      <c r="M155" s="213"/>
      <c r="N155" s="214"/>
      <c r="O155" s="214"/>
      <c r="P155" s="214"/>
      <c r="Q155" s="214"/>
      <c r="R155" s="214"/>
      <c r="S155" s="214"/>
      <c r="T155" s="214"/>
      <c r="U155" s="214"/>
      <c r="V155" s="214"/>
      <c r="W155" s="214"/>
      <c r="X155" s="214"/>
    </row>
    <row r="156" spans="1:24" s="215" customFormat="1" x14ac:dyDescent="0.35">
      <c r="A156" s="213"/>
      <c r="B156" s="213"/>
      <c r="C156" s="213"/>
      <c r="D156" s="213"/>
      <c r="E156" s="213"/>
      <c r="F156" s="213"/>
      <c r="G156" s="213"/>
      <c r="H156" s="213"/>
      <c r="I156" s="213"/>
      <c r="J156" s="213"/>
      <c r="K156" s="213"/>
      <c r="L156" s="213"/>
      <c r="M156" s="213"/>
      <c r="N156" s="214"/>
      <c r="O156" s="214"/>
      <c r="P156" s="214"/>
      <c r="Q156" s="214"/>
      <c r="R156" s="214"/>
      <c r="S156" s="214"/>
      <c r="T156" s="214"/>
      <c r="U156" s="214"/>
      <c r="V156" s="214"/>
      <c r="W156" s="214"/>
      <c r="X156" s="214"/>
    </row>
    <row r="157" spans="1:24" s="215" customFormat="1" x14ac:dyDescent="0.35">
      <c r="A157" s="213"/>
      <c r="B157" s="213"/>
      <c r="C157" s="213"/>
      <c r="D157" s="213"/>
      <c r="E157" s="213"/>
      <c r="F157" s="213"/>
      <c r="G157" s="213"/>
      <c r="H157" s="213"/>
      <c r="I157" s="213"/>
      <c r="J157" s="213"/>
      <c r="K157" s="213"/>
      <c r="L157" s="213"/>
      <c r="M157" s="213"/>
      <c r="N157" s="214"/>
      <c r="O157" s="214"/>
      <c r="P157" s="214"/>
      <c r="Q157" s="214"/>
      <c r="R157" s="214"/>
      <c r="S157" s="214"/>
      <c r="T157" s="214"/>
      <c r="U157" s="214"/>
      <c r="V157" s="214"/>
      <c r="W157" s="214"/>
      <c r="X157" s="214"/>
    </row>
    <row r="158" spans="1:24" s="215" customFormat="1" x14ac:dyDescent="0.35">
      <c r="A158" s="213"/>
      <c r="B158" s="213"/>
      <c r="C158" s="213"/>
      <c r="D158" s="213"/>
      <c r="E158" s="213"/>
      <c r="F158" s="213"/>
      <c r="G158" s="213"/>
      <c r="H158" s="213"/>
      <c r="I158" s="213"/>
      <c r="J158" s="213"/>
      <c r="K158" s="213"/>
      <c r="L158" s="213"/>
      <c r="M158" s="213"/>
      <c r="N158" s="214"/>
      <c r="O158" s="214"/>
      <c r="P158" s="214"/>
      <c r="Q158" s="214"/>
      <c r="R158" s="214"/>
      <c r="S158" s="214"/>
      <c r="T158" s="214"/>
      <c r="U158" s="214"/>
      <c r="V158" s="214"/>
      <c r="W158" s="214"/>
      <c r="X158" s="214"/>
    </row>
    <row r="159" spans="1:24" s="215" customFormat="1" x14ac:dyDescent="0.35">
      <c r="A159" s="213"/>
      <c r="B159" s="213"/>
      <c r="C159" s="213"/>
      <c r="D159" s="213"/>
      <c r="E159" s="213"/>
      <c r="F159" s="213"/>
      <c r="G159" s="213"/>
      <c r="H159" s="213"/>
      <c r="I159" s="213"/>
      <c r="J159" s="213"/>
      <c r="K159" s="213"/>
      <c r="L159" s="213"/>
      <c r="M159" s="213"/>
      <c r="N159" s="214"/>
      <c r="O159" s="214"/>
      <c r="P159" s="214"/>
      <c r="Q159" s="214"/>
      <c r="R159" s="214"/>
      <c r="S159" s="214"/>
      <c r="T159" s="214"/>
      <c r="U159" s="214"/>
      <c r="V159" s="214"/>
      <c r="W159" s="214"/>
      <c r="X159" s="214"/>
    </row>
    <row r="160" spans="1:24" s="215" customFormat="1" x14ac:dyDescent="0.35">
      <c r="A160" s="213"/>
      <c r="B160" s="213"/>
      <c r="C160" s="213"/>
      <c r="D160" s="213"/>
      <c r="E160" s="213"/>
      <c r="F160" s="213"/>
      <c r="G160" s="213"/>
      <c r="H160" s="213"/>
      <c r="I160" s="213"/>
      <c r="J160" s="213"/>
      <c r="K160" s="213"/>
      <c r="L160" s="213"/>
      <c r="M160" s="213"/>
      <c r="N160" s="214"/>
      <c r="O160" s="214"/>
      <c r="P160" s="214"/>
      <c r="Q160" s="214"/>
      <c r="R160" s="214"/>
      <c r="S160" s="214"/>
      <c r="T160" s="214"/>
      <c r="U160" s="214"/>
      <c r="V160" s="214"/>
      <c r="W160" s="214"/>
      <c r="X160" s="214"/>
    </row>
    <row r="161" spans="1:24" s="215" customFormat="1" x14ac:dyDescent="0.35">
      <c r="A161" s="213"/>
      <c r="B161" s="213"/>
      <c r="C161" s="213"/>
      <c r="D161" s="213"/>
      <c r="E161" s="213"/>
      <c r="F161" s="213"/>
      <c r="G161" s="213"/>
      <c r="H161" s="213"/>
      <c r="I161" s="213"/>
      <c r="J161" s="213"/>
      <c r="K161" s="213"/>
      <c r="L161" s="213"/>
      <c r="M161" s="213"/>
      <c r="N161" s="214"/>
      <c r="O161" s="214"/>
      <c r="P161" s="214"/>
      <c r="Q161" s="214"/>
      <c r="R161" s="214"/>
      <c r="S161" s="214"/>
      <c r="T161" s="214"/>
      <c r="U161" s="214"/>
      <c r="V161" s="214"/>
      <c r="W161" s="214"/>
      <c r="X161" s="214"/>
    </row>
    <row r="162" spans="1:24" s="215" customFormat="1" x14ac:dyDescent="0.35">
      <c r="A162" s="213"/>
      <c r="B162" s="213"/>
      <c r="C162" s="213"/>
      <c r="D162" s="213"/>
      <c r="E162" s="213"/>
      <c r="F162" s="213"/>
      <c r="G162" s="213"/>
      <c r="H162" s="213"/>
      <c r="I162" s="213"/>
      <c r="J162" s="213"/>
      <c r="K162" s="213"/>
      <c r="L162" s="213"/>
      <c r="M162" s="213"/>
      <c r="N162" s="214"/>
      <c r="O162" s="214"/>
      <c r="P162" s="214"/>
      <c r="Q162" s="214"/>
      <c r="R162" s="214"/>
      <c r="S162" s="214"/>
      <c r="T162" s="214"/>
      <c r="U162" s="214"/>
      <c r="V162" s="214"/>
      <c r="W162" s="214"/>
      <c r="X162" s="214"/>
    </row>
    <row r="163" spans="1:24" s="215" customFormat="1" x14ac:dyDescent="0.35">
      <c r="A163" s="213"/>
      <c r="B163" s="213"/>
      <c r="C163" s="213"/>
      <c r="D163" s="213"/>
      <c r="E163" s="213"/>
      <c r="F163" s="213"/>
      <c r="G163" s="213"/>
      <c r="H163" s="213"/>
      <c r="I163" s="213"/>
      <c r="J163" s="213"/>
      <c r="K163" s="213"/>
      <c r="L163" s="213"/>
      <c r="M163" s="213"/>
      <c r="N163" s="214"/>
      <c r="O163" s="214"/>
      <c r="P163" s="214"/>
      <c r="Q163" s="214"/>
      <c r="R163" s="214"/>
      <c r="S163" s="214"/>
      <c r="T163" s="214"/>
      <c r="U163" s="214"/>
      <c r="V163" s="214"/>
      <c r="W163" s="214"/>
      <c r="X163" s="214"/>
    </row>
    <row r="164" spans="1:24" s="215" customFormat="1" x14ac:dyDescent="0.35">
      <c r="A164" s="213"/>
      <c r="B164" s="213"/>
      <c r="C164" s="213"/>
      <c r="D164" s="213"/>
      <c r="E164" s="213"/>
      <c r="F164" s="213"/>
      <c r="G164" s="213"/>
      <c r="H164" s="213"/>
      <c r="I164" s="213"/>
      <c r="J164" s="213"/>
      <c r="K164" s="213"/>
      <c r="L164" s="213"/>
      <c r="M164" s="213"/>
      <c r="N164" s="214"/>
      <c r="O164" s="214"/>
      <c r="P164" s="214"/>
      <c r="Q164" s="214"/>
      <c r="R164" s="214"/>
      <c r="S164" s="214"/>
      <c r="T164" s="214"/>
      <c r="U164" s="214"/>
      <c r="V164" s="214"/>
      <c r="W164" s="214"/>
      <c r="X164" s="214"/>
    </row>
    <row r="165" spans="1:24" s="215" customFormat="1" x14ac:dyDescent="0.35">
      <c r="A165" s="213"/>
      <c r="B165" s="213"/>
      <c r="C165" s="213"/>
      <c r="D165" s="213"/>
      <c r="E165" s="213"/>
      <c r="F165" s="213"/>
      <c r="G165" s="213"/>
      <c r="H165" s="213"/>
      <c r="I165" s="213"/>
      <c r="J165" s="213"/>
      <c r="K165" s="213"/>
      <c r="L165" s="213"/>
      <c r="M165" s="213"/>
      <c r="N165" s="214"/>
      <c r="O165" s="214"/>
      <c r="P165" s="214"/>
      <c r="Q165" s="214"/>
      <c r="R165" s="214"/>
      <c r="S165" s="214"/>
      <c r="T165" s="214"/>
      <c r="U165" s="214"/>
      <c r="V165" s="214"/>
      <c r="W165" s="214"/>
      <c r="X165" s="214"/>
    </row>
    <row r="166" spans="1:24" s="215" customFormat="1" x14ac:dyDescent="0.35">
      <c r="A166" s="213"/>
      <c r="B166" s="213"/>
      <c r="C166" s="213"/>
      <c r="D166" s="213"/>
      <c r="E166" s="213"/>
      <c r="F166" s="213"/>
      <c r="G166" s="213"/>
      <c r="H166" s="213"/>
      <c r="I166" s="213"/>
      <c r="J166" s="213"/>
      <c r="K166" s="213"/>
      <c r="L166" s="213"/>
      <c r="M166" s="213"/>
      <c r="N166" s="214"/>
      <c r="O166" s="214"/>
      <c r="P166" s="214"/>
      <c r="Q166" s="214"/>
      <c r="R166" s="214"/>
      <c r="S166" s="214"/>
      <c r="T166" s="214"/>
      <c r="U166" s="214"/>
      <c r="V166" s="214"/>
      <c r="W166" s="214"/>
      <c r="X166" s="214"/>
    </row>
    <row r="167" spans="1:24" s="215" customFormat="1" x14ac:dyDescent="0.35">
      <c r="A167" s="213"/>
      <c r="B167" s="213"/>
      <c r="C167" s="213"/>
      <c r="D167" s="213"/>
      <c r="E167" s="213"/>
      <c r="F167" s="213"/>
      <c r="G167" s="213"/>
      <c r="H167" s="213"/>
      <c r="I167" s="213"/>
      <c r="J167" s="213"/>
      <c r="K167" s="213"/>
      <c r="L167" s="213"/>
      <c r="M167" s="213"/>
      <c r="N167" s="214"/>
      <c r="O167" s="214"/>
      <c r="P167" s="214"/>
      <c r="Q167" s="214"/>
      <c r="R167" s="214"/>
      <c r="S167" s="214"/>
      <c r="T167" s="214"/>
      <c r="U167" s="214"/>
      <c r="V167" s="214"/>
      <c r="W167" s="214"/>
      <c r="X167" s="214"/>
    </row>
    <row r="168" spans="1:24" s="215" customFormat="1" x14ac:dyDescent="0.35">
      <c r="A168" s="213"/>
      <c r="B168" s="213"/>
      <c r="C168" s="213"/>
      <c r="D168" s="213"/>
      <c r="E168" s="213"/>
      <c r="F168" s="213"/>
      <c r="G168" s="213"/>
      <c r="H168" s="213"/>
      <c r="I168" s="213"/>
      <c r="J168" s="213"/>
      <c r="K168" s="213"/>
      <c r="L168" s="213"/>
      <c r="M168" s="213"/>
      <c r="N168" s="214"/>
      <c r="O168" s="214"/>
      <c r="P168" s="214"/>
      <c r="Q168" s="214"/>
      <c r="R168" s="214"/>
      <c r="S168" s="214"/>
      <c r="T168" s="214"/>
      <c r="U168" s="214"/>
      <c r="V168" s="214"/>
      <c r="W168" s="214"/>
      <c r="X168" s="214"/>
    </row>
    <row r="169" spans="1:24" s="215" customFormat="1" x14ac:dyDescent="0.35">
      <c r="A169" s="213"/>
      <c r="B169" s="213"/>
      <c r="C169" s="213"/>
      <c r="D169" s="213"/>
      <c r="E169" s="213"/>
      <c r="F169" s="213"/>
      <c r="G169" s="213"/>
      <c r="H169" s="213"/>
      <c r="I169" s="213"/>
      <c r="J169" s="213"/>
      <c r="K169" s="213"/>
      <c r="L169" s="213"/>
      <c r="M169" s="213"/>
      <c r="N169" s="214"/>
      <c r="O169" s="214"/>
      <c r="P169" s="214"/>
      <c r="Q169" s="214"/>
      <c r="R169" s="214"/>
      <c r="S169" s="214"/>
      <c r="T169" s="214"/>
      <c r="U169" s="214"/>
      <c r="V169" s="214"/>
      <c r="W169" s="214"/>
      <c r="X169" s="214"/>
    </row>
    <row r="170" spans="1:24" s="215" customFormat="1" x14ac:dyDescent="0.35">
      <c r="A170" s="213"/>
      <c r="B170" s="213"/>
      <c r="C170" s="213"/>
      <c r="D170" s="213"/>
      <c r="E170" s="213"/>
      <c r="F170" s="213"/>
      <c r="G170" s="213"/>
      <c r="H170" s="213"/>
      <c r="I170" s="213"/>
      <c r="J170" s="213"/>
      <c r="K170" s="213"/>
      <c r="L170" s="213"/>
      <c r="M170" s="213"/>
      <c r="N170" s="214"/>
      <c r="O170" s="214"/>
      <c r="P170" s="214"/>
      <c r="Q170" s="214"/>
      <c r="R170" s="214"/>
      <c r="S170" s="214"/>
      <c r="T170" s="214"/>
      <c r="U170" s="214"/>
      <c r="V170" s="214"/>
      <c r="W170" s="214"/>
      <c r="X170" s="214"/>
    </row>
    <row r="171" spans="1:24" s="215" customFormat="1" x14ac:dyDescent="0.35">
      <c r="A171" s="213"/>
      <c r="B171" s="213"/>
      <c r="C171" s="213"/>
      <c r="D171" s="213"/>
      <c r="E171" s="213"/>
      <c r="F171" s="213"/>
      <c r="G171" s="213"/>
      <c r="H171" s="213"/>
      <c r="I171" s="213"/>
      <c r="J171" s="213"/>
      <c r="K171" s="213"/>
      <c r="L171" s="213"/>
      <c r="M171" s="213"/>
      <c r="N171" s="214"/>
      <c r="O171" s="214"/>
      <c r="P171" s="214"/>
      <c r="Q171" s="214"/>
      <c r="R171" s="214"/>
      <c r="S171" s="214"/>
      <c r="T171" s="214"/>
      <c r="U171" s="214"/>
      <c r="V171" s="214"/>
      <c r="W171" s="214"/>
      <c r="X171" s="214"/>
    </row>
    <row r="172" spans="1:24" s="215" customFormat="1" x14ac:dyDescent="0.35">
      <c r="A172" s="213"/>
      <c r="B172" s="213"/>
      <c r="C172" s="213"/>
      <c r="D172" s="213"/>
      <c r="E172" s="213"/>
      <c r="F172" s="213"/>
      <c r="G172" s="213"/>
      <c r="H172" s="213"/>
      <c r="I172" s="213"/>
      <c r="J172" s="213"/>
      <c r="K172" s="213"/>
      <c r="L172" s="213"/>
      <c r="M172" s="213"/>
      <c r="N172" s="214"/>
      <c r="O172" s="214"/>
      <c r="P172" s="214"/>
      <c r="Q172" s="214"/>
      <c r="R172" s="214"/>
      <c r="S172" s="214"/>
      <c r="T172" s="214"/>
      <c r="U172" s="214"/>
      <c r="V172" s="214"/>
      <c r="W172" s="214"/>
      <c r="X172" s="214"/>
    </row>
    <row r="173" spans="1:24" s="215" customFormat="1" x14ac:dyDescent="0.35">
      <c r="A173" s="213"/>
      <c r="B173" s="213"/>
      <c r="C173" s="213"/>
      <c r="D173" s="213"/>
      <c r="E173" s="213"/>
      <c r="F173" s="213"/>
      <c r="G173" s="213"/>
      <c r="H173" s="213"/>
      <c r="I173" s="213"/>
      <c r="J173" s="213"/>
      <c r="K173" s="213"/>
      <c r="L173" s="213"/>
      <c r="M173" s="213"/>
      <c r="N173" s="214"/>
      <c r="O173" s="214"/>
      <c r="P173" s="214"/>
      <c r="Q173" s="214"/>
      <c r="R173" s="214"/>
      <c r="S173" s="214"/>
      <c r="T173" s="214"/>
      <c r="U173" s="214"/>
      <c r="V173" s="214"/>
      <c r="W173" s="214"/>
      <c r="X173" s="214"/>
    </row>
    <row r="174" spans="1:24" s="215" customFormat="1" x14ac:dyDescent="0.35">
      <c r="A174" s="213"/>
      <c r="B174" s="213"/>
      <c r="C174" s="213"/>
      <c r="D174" s="213"/>
      <c r="E174" s="213"/>
      <c r="F174" s="213"/>
      <c r="G174" s="213"/>
      <c r="H174" s="213"/>
      <c r="I174" s="213"/>
      <c r="J174" s="213"/>
      <c r="K174" s="213"/>
      <c r="L174" s="213"/>
      <c r="M174" s="213"/>
      <c r="N174" s="214"/>
      <c r="O174" s="214"/>
      <c r="P174" s="214"/>
      <c r="Q174" s="214"/>
      <c r="R174" s="214"/>
      <c r="S174" s="214"/>
      <c r="T174" s="214"/>
      <c r="U174" s="214"/>
      <c r="V174" s="214"/>
      <c r="W174" s="214"/>
      <c r="X174" s="214"/>
    </row>
    <row r="175" spans="1:24" s="215" customFormat="1" x14ac:dyDescent="0.35">
      <c r="A175" s="213"/>
      <c r="B175" s="213"/>
      <c r="C175" s="213"/>
      <c r="D175" s="213"/>
      <c r="E175" s="213"/>
      <c r="F175" s="213"/>
      <c r="G175" s="213"/>
      <c r="H175" s="213"/>
      <c r="I175" s="213"/>
      <c r="J175" s="213"/>
      <c r="K175" s="213"/>
      <c r="L175" s="213"/>
      <c r="M175" s="213"/>
      <c r="N175" s="214"/>
      <c r="O175" s="214"/>
      <c r="P175" s="214"/>
      <c r="Q175" s="214"/>
      <c r="R175" s="214"/>
      <c r="S175" s="214"/>
      <c r="T175" s="214"/>
      <c r="U175" s="214"/>
      <c r="V175" s="214"/>
      <c r="W175" s="214"/>
      <c r="X175" s="214"/>
    </row>
    <row r="176" spans="1:24" s="215" customFormat="1" x14ac:dyDescent="0.35">
      <c r="A176" s="213"/>
      <c r="B176" s="213"/>
      <c r="C176" s="213"/>
      <c r="D176" s="213"/>
      <c r="E176" s="213"/>
      <c r="F176" s="213"/>
      <c r="G176" s="213"/>
      <c r="H176" s="213"/>
      <c r="I176" s="213"/>
      <c r="J176" s="213"/>
      <c r="K176" s="213"/>
      <c r="L176" s="213"/>
      <c r="M176" s="213"/>
      <c r="N176" s="214"/>
      <c r="O176" s="214"/>
      <c r="P176" s="214"/>
      <c r="Q176" s="214"/>
      <c r="R176" s="214"/>
      <c r="S176" s="214"/>
      <c r="T176" s="214"/>
      <c r="U176" s="214"/>
      <c r="V176" s="214"/>
      <c r="W176" s="214"/>
      <c r="X176" s="214"/>
    </row>
    <row r="177" spans="1:24" s="215" customFormat="1" x14ac:dyDescent="0.35">
      <c r="A177" s="213"/>
      <c r="B177" s="213"/>
      <c r="C177" s="213"/>
      <c r="D177" s="213"/>
      <c r="E177" s="213"/>
      <c r="F177" s="213"/>
      <c r="G177" s="213"/>
      <c r="H177" s="213"/>
      <c r="I177" s="213"/>
      <c r="J177" s="213"/>
      <c r="K177" s="213"/>
      <c r="L177" s="213"/>
      <c r="M177" s="213"/>
      <c r="N177" s="214"/>
      <c r="O177" s="214"/>
      <c r="P177" s="214"/>
      <c r="Q177" s="214"/>
      <c r="R177" s="214"/>
      <c r="S177" s="214"/>
      <c r="T177" s="214"/>
      <c r="U177" s="214"/>
      <c r="V177" s="214"/>
      <c r="W177" s="214"/>
      <c r="X177" s="214"/>
    </row>
    <row r="178" spans="1:24" s="215" customFormat="1" x14ac:dyDescent="0.35">
      <c r="A178" s="213"/>
      <c r="B178" s="213"/>
      <c r="C178" s="213"/>
      <c r="D178" s="213"/>
      <c r="E178" s="213"/>
      <c r="F178" s="213"/>
      <c r="G178" s="213"/>
      <c r="H178" s="213"/>
      <c r="I178" s="213"/>
      <c r="J178" s="213"/>
      <c r="K178" s="213"/>
      <c r="L178" s="213"/>
      <c r="M178" s="213"/>
      <c r="N178" s="214"/>
      <c r="O178" s="214"/>
      <c r="P178" s="214"/>
      <c r="Q178" s="214"/>
      <c r="R178" s="214"/>
      <c r="S178" s="214"/>
      <c r="T178" s="214"/>
      <c r="U178" s="214"/>
      <c r="V178" s="214"/>
      <c r="W178" s="214"/>
      <c r="X178" s="214"/>
    </row>
    <row r="179" spans="1:24" s="215" customFormat="1" x14ac:dyDescent="0.35">
      <c r="A179" s="213"/>
      <c r="B179" s="213"/>
      <c r="C179" s="213"/>
      <c r="D179" s="213"/>
      <c r="E179" s="213"/>
      <c r="F179" s="213"/>
      <c r="G179" s="213"/>
      <c r="H179" s="213"/>
      <c r="I179" s="213"/>
      <c r="J179" s="213"/>
      <c r="K179" s="213"/>
      <c r="L179" s="213"/>
      <c r="M179" s="213"/>
      <c r="N179" s="214"/>
      <c r="O179" s="214"/>
      <c r="P179" s="214"/>
      <c r="Q179" s="214"/>
      <c r="R179" s="214"/>
      <c r="S179" s="214"/>
      <c r="T179" s="214"/>
      <c r="U179" s="214"/>
      <c r="V179" s="214"/>
      <c r="W179" s="214"/>
      <c r="X179" s="214"/>
    </row>
    <row r="180" spans="1:24" s="215" customFormat="1" x14ac:dyDescent="0.35">
      <c r="A180" s="213"/>
      <c r="B180" s="213"/>
      <c r="C180" s="213"/>
      <c r="D180" s="213"/>
      <c r="E180" s="213"/>
      <c r="F180" s="213"/>
      <c r="G180" s="213"/>
      <c r="H180" s="213"/>
      <c r="I180" s="213"/>
      <c r="J180" s="213"/>
      <c r="K180" s="213"/>
      <c r="L180" s="213"/>
      <c r="M180" s="213"/>
      <c r="N180" s="214"/>
      <c r="O180" s="214"/>
      <c r="P180" s="214"/>
      <c r="Q180" s="214"/>
      <c r="R180" s="214"/>
      <c r="S180" s="214"/>
      <c r="T180" s="214"/>
      <c r="U180" s="214"/>
      <c r="V180" s="214"/>
      <c r="W180" s="214"/>
      <c r="X180" s="214"/>
    </row>
    <row r="181" spans="1:24" s="215" customFormat="1" x14ac:dyDescent="0.35">
      <c r="A181" s="213"/>
      <c r="B181" s="213"/>
      <c r="C181" s="213"/>
      <c r="D181" s="213"/>
      <c r="E181" s="213"/>
      <c r="F181" s="213"/>
      <c r="G181" s="213"/>
      <c r="H181" s="213"/>
      <c r="I181" s="213"/>
      <c r="J181" s="213"/>
      <c r="K181" s="213"/>
      <c r="L181" s="213"/>
      <c r="M181" s="213"/>
      <c r="N181" s="214"/>
      <c r="O181" s="214"/>
      <c r="P181" s="214"/>
      <c r="Q181" s="214"/>
      <c r="R181" s="214"/>
      <c r="S181" s="214"/>
      <c r="T181" s="214"/>
      <c r="U181" s="214"/>
      <c r="V181" s="214"/>
      <c r="W181" s="214"/>
      <c r="X181" s="214"/>
    </row>
    <row r="182" spans="1:24" s="215" customFormat="1" x14ac:dyDescent="0.35">
      <c r="A182" s="213"/>
      <c r="B182" s="213"/>
      <c r="C182" s="213"/>
      <c r="D182" s="213"/>
      <c r="E182" s="213"/>
      <c r="F182" s="213"/>
      <c r="G182" s="213"/>
      <c r="H182" s="213"/>
      <c r="I182" s="213"/>
      <c r="J182" s="213"/>
      <c r="K182" s="213"/>
      <c r="L182" s="213"/>
      <c r="M182" s="213"/>
      <c r="N182" s="214"/>
      <c r="O182" s="214"/>
      <c r="P182" s="214"/>
      <c r="Q182" s="214"/>
      <c r="R182" s="214"/>
      <c r="S182" s="214"/>
      <c r="T182" s="214"/>
      <c r="U182" s="214"/>
      <c r="V182" s="214"/>
      <c r="W182" s="214"/>
      <c r="X182" s="214"/>
    </row>
    <row r="183" spans="1:24" s="215" customFormat="1" x14ac:dyDescent="0.35">
      <c r="A183" s="213"/>
      <c r="B183" s="213"/>
      <c r="C183" s="213"/>
      <c r="D183" s="213"/>
      <c r="E183" s="213"/>
      <c r="F183" s="213"/>
      <c r="G183" s="213"/>
      <c r="H183" s="213"/>
      <c r="I183" s="213"/>
      <c r="J183" s="213"/>
      <c r="K183" s="213"/>
      <c r="L183" s="213"/>
      <c r="M183" s="213"/>
      <c r="N183" s="214"/>
      <c r="O183" s="214"/>
      <c r="P183" s="214"/>
      <c r="Q183" s="214"/>
      <c r="R183" s="214"/>
      <c r="S183" s="214"/>
      <c r="T183" s="214"/>
      <c r="U183" s="214"/>
      <c r="V183" s="214"/>
      <c r="W183" s="214"/>
      <c r="X183" s="214"/>
    </row>
    <row r="184" spans="1:24" s="215" customFormat="1" x14ac:dyDescent="0.35">
      <c r="A184" s="213"/>
      <c r="B184" s="213"/>
      <c r="C184" s="213"/>
      <c r="D184" s="213"/>
      <c r="E184" s="213"/>
      <c r="F184" s="213"/>
      <c r="G184" s="213"/>
      <c r="H184" s="213"/>
      <c r="I184" s="213"/>
      <c r="J184" s="213"/>
      <c r="K184" s="213"/>
      <c r="L184" s="213"/>
      <c r="M184" s="213"/>
      <c r="N184" s="214"/>
      <c r="O184" s="214"/>
      <c r="P184" s="214"/>
      <c r="Q184" s="214"/>
      <c r="R184" s="214"/>
      <c r="S184" s="214"/>
      <c r="T184" s="214"/>
      <c r="U184" s="214"/>
      <c r="V184" s="214"/>
      <c r="W184" s="214"/>
      <c r="X184" s="214"/>
    </row>
    <row r="185" spans="1:24" s="215" customFormat="1" x14ac:dyDescent="0.35">
      <c r="A185" s="213"/>
      <c r="B185" s="213"/>
      <c r="C185" s="213"/>
      <c r="D185" s="213"/>
      <c r="E185" s="213"/>
      <c r="F185" s="213"/>
      <c r="G185" s="213"/>
      <c r="H185" s="213"/>
      <c r="I185" s="213"/>
      <c r="J185" s="213"/>
      <c r="K185" s="213"/>
      <c r="L185" s="213"/>
      <c r="M185" s="213"/>
      <c r="N185" s="214"/>
      <c r="O185" s="214"/>
      <c r="P185" s="214"/>
      <c r="Q185" s="214"/>
      <c r="R185" s="214"/>
      <c r="S185" s="214"/>
      <c r="T185" s="214"/>
      <c r="U185" s="214"/>
      <c r="V185" s="214"/>
      <c r="W185" s="214"/>
      <c r="X185" s="214"/>
    </row>
    <row r="186" spans="1:24" s="215" customFormat="1" x14ac:dyDescent="0.35">
      <c r="A186" s="213"/>
      <c r="B186" s="213"/>
      <c r="C186" s="213"/>
      <c r="D186" s="213"/>
      <c r="E186" s="213"/>
      <c r="F186" s="213"/>
      <c r="G186" s="213"/>
      <c r="H186" s="213"/>
      <c r="I186" s="213"/>
      <c r="J186" s="213"/>
      <c r="K186" s="213"/>
      <c r="L186" s="213"/>
      <c r="M186" s="213"/>
      <c r="N186" s="214"/>
      <c r="O186" s="214"/>
      <c r="P186" s="214"/>
      <c r="Q186" s="214"/>
      <c r="R186" s="214"/>
      <c r="S186" s="214"/>
      <c r="T186" s="214"/>
      <c r="U186" s="214"/>
      <c r="V186" s="214"/>
      <c r="W186" s="214"/>
      <c r="X186" s="214"/>
    </row>
    <row r="187" spans="1:24" s="215" customFormat="1" x14ac:dyDescent="0.35">
      <c r="A187" s="213"/>
      <c r="B187" s="213"/>
      <c r="C187" s="213"/>
      <c r="D187" s="213"/>
      <c r="E187" s="213"/>
      <c r="F187" s="213"/>
      <c r="G187" s="213"/>
      <c r="H187" s="213"/>
      <c r="I187" s="213"/>
      <c r="J187" s="213"/>
      <c r="K187" s="213"/>
      <c r="L187" s="213"/>
      <c r="M187" s="213"/>
      <c r="N187" s="214"/>
      <c r="O187" s="214"/>
      <c r="P187" s="214"/>
      <c r="Q187" s="214"/>
      <c r="R187" s="214"/>
      <c r="S187" s="214"/>
      <c r="T187" s="214"/>
      <c r="U187" s="214"/>
      <c r="V187" s="214"/>
      <c r="W187" s="214"/>
      <c r="X187" s="214"/>
    </row>
    <row r="188" spans="1:24" s="215" customFormat="1" x14ac:dyDescent="0.35">
      <c r="A188" s="213"/>
      <c r="B188" s="213"/>
      <c r="C188" s="213"/>
      <c r="D188" s="213"/>
      <c r="E188" s="213"/>
      <c r="F188" s="213"/>
      <c r="G188" s="213"/>
      <c r="H188" s="213"/>
      <c r="I188" s="213"/>
      <c r="J188" s="213"/>
      <c r="K188" s="213"/>
      <c r="L188" s="213"/>
      <c r="M188" s="213"/>
      <c r="N188" s="214"/>
      <c r="O188" s="214"/>
      <c r="P188" s="214"/>
      <c r="Q188" s="214"/>
      <c r="R188" s="214"/>
      <c r="S188" s="214"/>
      <c r="T188" s="214"/>
      <c r="U188" s="214"/>
      <c r="V188" s="214"/>
      <c r="W188" s="214"/>
      <c r="X188" s="214"/>
    </row>
    <row r="189" spans="1:24" s="215" customFormat="1" x14ac:dyDescent="0.35">
      <c r="A189" s="213"/>
      <c r="B189" s="213"/>
      <c r="C189" s="213"/>
      <c r="D189" s="213"/>
      <c r="E189" s="213"/>
      <c r="F189" s="213"/>
      <c r="G189" s="213"/>
      <c r="H189" s="213"/>
      <c r="I189" s="213"/>
      <c r="J189" s="213"/>
      <c r="K189" s="213"/>
      <c r="L189" s="213"/>
      <c r="M189" s="213"/>
      <c r="N189" s="214"/>
      <c r="O189" s="214"/>
      <c r="P189" s="214"/>
      <c r="Q189" s="214"/>
      <c r="R189" s="214"/>
      <c r="S189" s="214"/>
      <c r="T189" s="214"/>
      <c r="U189" s="214"/>
      <c r="V189" s="214"/>
      <c r="W189" s="214"/>
      <c r="X189" s="214"/>
    </row>
    <row r="190" spans="1:24" s="215" customFormat="1" x14ac:dyDescent="0.35">
      <c r="A190" s="213"/>
      <c r="B190" s="213"/>
      <c r="C190" s="213"/>
      <c r="D190" s="213"/>
      <c r="E190" s="213"/>
      <c r="F190" s="213"/>
      <c r="G190" s="213"/>
      <c r="H190" s="213"/>
      <c r="I190" s="213"/>
      <c r="J190" s="213"/>
      <c r="K190" s="213"/>
      <c r="L190" s="213"/>
      <c r="M190" s="213"/>
      <c r="N190" s="214"/>
      <c r="O190" s="214"/>
      <c r="P190" s="214"/>
      <c r="Q190" s="214"/>
      <c r="R190" s="214"/>
      <c r="S190" s="214"/>
      <c r="T190" s="214"/>
      <c r="U190" s="214"/>
      <c r="V190" s="214"/>
      <c r="W190" s="214"/>
      <c r="X190" s="214"/>
    </row>
    <row r="191" spans="1:24" s="215" customFormat="1" x14ac:dyDescent="0.35">
      <c r="A191" s="213"/>
      <c r="B191" s="213"/>
      <c r="C191" s="213"/>
      <c r="D191" s="213"/>
      <c r="E191" s="213"/>
      <c r="F191" s="213"/>
      <c r="G191" s="213"/>
      <c r="H191" s="213"/>
      <c r="I191" s="213"/>
      <c r="J191" s="213"/>
      <c r="K191" s="213"/>
      <c r="L191" s="213"/>
      <c r="M191" s="213"/>
      <c r="N191" s="214"/>
      <c r="O191" s="214"/>
      <c r="P191" s="214"/>
      <c r="Q191" s="214"/>
      <c r="R191" s="214"/>
      <c r="S191" s="214"/>
      <c r="T191" s="214"/>
      <c r="U191" s="214"/>
      <c r="V191" s="214"/>
      <c r="W191" s="214"/>
      <c r="X191" s="214"/>
    </row>
    <row r="192" spans="1:24" s="215" customFormat="1" x14ac:dyDescent="0.35">
      <c r="A192" s="213"/>
      <c r="B192" s="213"/>
      <c r="C192" s="213"/>
      <c r="D192" s="213"/>
      <c r="E192" s="213"/>
      <c r="F192" s="213"/>
      <c r="G192" s="213"/>
      <c r="H192" s="213"/>
      <c r="I192" s="213"/>
      <c r="J192" s="213"/>
      <c r="K192" s="213"/>
      <c r="L192" s="213"/>
      <c r="M192" s="213"/>
      <c r="N192" s="214"/>
      <c r="O192" s="214"/>
      <c r="P192" s="214"/>
      <c r="Q192" s="214"/>
      <c r="R192" s="214"/>
      <c r="S192" s="214"/>
      <c r="T192" s="214"/>
      <c r="U192" s="214"/>
      <c r="V192" s="214"/>
      <c r="W192" s="214"/>
      <c r="X192" s="214"/>
    </row>
    <row r="193" spans="1:24" s="215" customFormat="1" x14ac:dyDescent="0.35">
      <c r="A193" s="213"/>
      <c r="B193" s="213"/>
      <c r="C193" s="213"/>
      <c r="D193" s="213"/>
      <c r="E193" s="213"/>
      <c r="F193" s="213"/>
      <c r="G193" s="213"/>
      <c r="H193" s="213"/>
      <c r="I193" s="213"/>
      <c r="J193" s="213"/>
      <c r="K193" s="213"/>
      <c r="L193" s="213"/>
      <c r="M193" s="213"/>
      <c r="N193" s="214"/>
      <c r="O193" s="214"/>
      <c r="P193" s="214"/>
      <c r="Q193" s="214"/>
      <c r="R193" s="214"/>
      <c r="S193" s="214"/>
      <c r="T193" s="214"/>
      <c r="U193" s="214"/>
      <c r="V193" s="214"/>
      <c r="W193" s="214"/>
      <c r="X193" s="214"/>
    </row>
    <row r="194" spans="1:24" s="215" customFormat="1" x14ac:dyDescent="0.35">
      <c r="A194" s="213"/>
      <c r="B194" s="213"/>
      <c r="C194" s="213"/>
      <c r="D194" s="213"/>
      <c r="E194" s="213"/>
      <c r="F194" s="213"/>
      <c r="G194" s="213"/>
      <c r="H194" s="213"/>
      <c r="I194" s="213"/>
      <c r="J194" s="213"/>
      <c r="K194" s="213"/>
      <c r="L194" s="213"/>
      <c r="M194" s="213"/>
      <c r="N194" s="214"/>
      <c r="O194" s="214"/>
      <c r="P194" s="214"/>
      <c r="Q194" s="214"/>
      <c r="R194" s="214"/>
      <c r="S194" s="214"/>
      <c r="T194" s="214"/>
      <c r="U194" s="214"/>
      <c r="V194" s="214"/>
      <c r="W194" s="214"/>
      <c r="X194" s="214"/>
    </row>
    <row r="195" spans="1:24" s="215" customFormat="1" x14ac:dyDescent="0.35">
      <c r="A195" s="213"/>
      <c r="B195" s="213"/>
      <c r="C195" s="213"/>
      <c r="D195" s="213"/>
      <c r="E195" s="213"/>
      <c r="F195" s="213"/>
      <c r="G195" s="213"/>
      <c r="H195" s="213"/>
      <c r="I195" s="213"/>
      <c r="J195" s="213"/>
      <c r="K195" s="213"/>
      <c r="L195" s="213"/>
      <c r="M195" s="213"/>
      <c r="N195" s="214"/>
      <c r="O195" s="214"/>
      <c r="P195" s="214"/>
      <c r="Q195" s="214"/>
      <c r="R195" s="214"/>
      <c r="S195" s="214"/>
      <c r="T195" s="214"/>
      <c r="U195" s="214"/>
      <c r="V195" s="214"/>
      <c r="W195" s="214"/>
      <c r="X195" s="214"/>
    </row>
    <row r="196" spans="1:24" s="215" customFormat="1" x14ac:dyDescent="0.35">
      <c r="A196" s="213"/>
      <c r="B196" s="213"/>
      <c r="C196" s="213"/>
      <c r="D196" s="213"/>
      <c r="E196" s="213"/>
      <c r="F196" s="213"/>
      <c r="G196" s="213"/>
      <c r="H196" s="213"/>
      <c r="I196" s="213"/>
      <c r="J196" s="213"/>
      <c r="K196" s="213"/>
      <c r="L196" s="213"/>
      <c r="M196" s="213"/>
      <c r="N196" s="214"/>
      <c r="O196" s="214"/>
      <c r="P196" s="214"/>
      <c r="Q196" s="214"/>
      <c r="R196" s="214"/>
      <c r="S196" s="214"/>
      <c r="T196" s="214"/>
      <c r="U196" s="214"/>
      <c r="V196" s="214"/>
      <c r="W196" s="214"/>
      <c r="X196" s="214"/>
    </row>
    <row r="197" spans="1:24" s="215" customFormat="1" x14ac:dyDescent="0.35">
      <c r="A197" s="213"/>
      <c r="B197" s="213"/>
      <c r="C197" s="213"/>
      <c r="D197" s="213"/>
      <c r="E197" s="213"/>
      <c r="F197" s="213"/>
      <c r="G197" s="213"/>
      <c r="H197" s="213"/>
      <c r="I197" s="213"/>
      <c r="J197" s="213"/>
      <c r="K197" s="213"/>
      <c r="L197" s="213"/>
      <c r="M197" s="213"/>
      <c r="N197" s="214"/>
      <c r="O197" s="214"/>
      <c r="P197" s="214"/>
      <c r="Q197" s="214"/>
      <c r="R197" s="214"/>
      <c r="S197" s="214"/>
      <c r="T197" s="214"/>
      <c r="U197" s="214"/>
      <c r="V197" s="214"/>
      <c r="W197" s="214"/>
      <c r="X197" s="214"/>
    </row>
    <row r="198" spans="1:24" s="215" customFormat="1" x14ac:dyDescent="0.35">
      <c r="A198" s="213"/>
      <c r="B198" s="213"/>
      <c r="C198" s="213"/>
      <c r="D198" s="213"/>
      <c r="E198" s="213"/>
      <c r="F198" s="213"/>
      <c r="G198" s="213"/>
      <c r="H198" s="213"/>
      <c r="I198" s="213"/>
      <c r="J198" s="213"/>
      <c r="K198" s="213"/>
      <c r="L198" s="213"/>
      <c r="M198" s="213"/>
      <c r="N198" s="214"/>
      <c r="O198" s="214"/>
      <c r="P198" s="214"/>
      <c r="Q198" s="214"/>
      <c r="R198" s="214"/>
      <c r="S198" s="214"/>
      <c r="T198" s="214"/>
      <c r="U198" s="214"/>
      <c r="V198" s="214"/>
      <c r="W198" s="214"/>
      <c r="X198" s="214"/>
    </row>
    <row r="199" spans="1:24" s="215" customFormat="1" x14ac:dyDescent="0.35">
      <c r="A199" s="213"/>
      <c r="B199" s="213"/>
      <c r="C199" s="213"/>
      <c r="D199" s="213"/>
      <c r="E199" s="213"/>
      <c r="F199" s="213"/>
      <c r="G199" s="213"/>
      <c r="H199" s="213"/>
      <c r="I199" s="213"/>
      <c r="J199" s="213"/>
      <c r="K199" s="213"/>
      <c r="L199" s="213"/>
      <c r="M199" s="213"/>
      <c r="N199" s="214"/>
      <c r="O199" s="214"/>
      <c r="P199" s="214"/>
      <c r="Q199" s="214"/>
      <c r="R199" s="214"/>
      <c r="S199" s="214"/>
      <c r="T199" s="214"/>
      <c r="U199" s="214"/>
      <c r="V199" s="214"/>
      <c r="W199" s="214"/>
      <c r="X199" s="214"/>
    </row>
    <row r="200" spans="1:24" s="215" customFormat="1" x14ac:dyDescent="0.35">
      <c r="A200" s="213"/>
      <c r="B200" s="213"/>
      <c r="C200" s="213"/>
      <c r="D200" s="213"/>
      <c r="E200" s="213"/>
      <c r="F200" s="213"/>
      <c r="G200" s="213"/>
      <c r="H200" s="213"/>
      <c r="I200" s="213"/>
      <c r="J200" s="213"/>
      <c r="K200" s="213"/>
      <c r="L200" s="213"/>
      <c r="M200" s="213"/>
      <c r="N200" s="214"/>
      <c r="O200" s="214"/>
      <c r="P200" s="214"/>
      <c r="Q200" s="214"/>
      <c r="R200" s="214"/>
      <c r="S200" s="214"/>
      <c r="T200" s="214"/>
      <c r="U200" s="214"/>
      <c r="V200" s="214"/>
      <c r="W200" s="214"/>
      <c r="X200" s="214"/>
    </row>
    <row r="201" spans="1:24" s="215" customFormat="1" x14ac:dyDescent="0.35">
      <c r="A201" s="213"/>
      <c r="B201" s="213"/>
      <c r="C201" s="213"/>
      <c r="D201" s="213"/>
      <c r="E201" s="213"/>
      <c r="F201" s="213"/>
      <c r="G201" s="213"/>
      <c r="H201" s="213"/>
      <c r="I201" s="213"/>
      <c r="J201" s="213"/>
      <c r="K201" s="213"/>
      <c r="L201" s="213"/>
      <c r="M201" s="213"/>
      <c r="N201" s="214"/>
      <c r="O201" s="214"/>
      <c r="P201" s="214"/>
      <c r="Q201" s="214"/>
      <c r="R201" s="214"/>
      <c r="S201" s="214"/>
      <c r="T201" s="214"/>
      <c r="U201" s="214"/>
      <c r="V201" s="214"/>
      <c r="W201" s="214"/>
      <c r="X201" s="214"/>
    </row>
    <row r="202" spans="1:24" s="215" customFormat="1" x14ac:dyDescent="0.35">
      <c r="A202" s="213"/>
      <c r="B202" s="213"/>
      <c r="C202" s="213"/>
      <c r="D202" s="213"/>
      <c r="E202" s="213"/>
      <c r="F202" s="213"/>
      <c r="G202" s="213"/>
      <c r="H202" s="213"/>
      <c r="I202" s="213"/>
      <c r="J202" s="213"/>
      <c r="K202" s="213"/>
      <c r="L202" s="213"/>
      <c r="M202" s="213"/>
      <c r="N202" s="214"/>
      <c r="O202" s="214"/>
      <c r="P202" s="214"/>
      <c r="Q202" s="214"/>
      <c r="R202" s="214"/>
      <c r="S202" s="214"/>
      <c r="T202" s="214"/>
      <c r="U202" s="214"/>
      <c r="V202" s="214"/>
      <c r="W202" s="214"/>
      <c r="X202" s="214"/>
    </row>
    <row r="203" spans="1:24" s="215" customFormat="1" x14ac:dyDescent="0.35">
      <c r="A203" s="213"/>
      <c r="B203" s="213"/>
      <c r="C203" s="213"/>
      <c r="D203" s="213"/>
      <c r="E203" s="213"/>
      <c r="F203" s="213"/>
      <c r="G203" s="213"/>
      <c r="H203" s="213"/>
      <c r="I203" s="213"/>
      <c r="J203" s="213"/>
      <c r="K203" s="213"/>
      <c r="L203" s="213"/>
      <c r="M203" s="213"/>
      <c r="N203" s="214"/>
      <c r="O203" s="214"/>
      <c r="P203" s="214"/>
      <c r="Q203" s="214"/>
      <c r="R203" s="214"/>
      <c r="S203" s="214"/>
      <c r="T203" s="214"/>
      <c r="U203" s="214"/>
      <c r="V203" s="214"/>
      <c r="W203" s="214"/>
      <c r="X203" s="214"/>
    </row>
    <row r="204" spans="1:24" s="215" customFormat="1" x14ac:dyDescent="0.35">
      <c r="A204" s="213"/>
      <c r="B204" s="213"/>
      <c r="C204" s="213"/>
      <c r="D204" s="213"/>
      <c r="E204" s="213"/>
      <c r="F204" s="213"/>
      <c r="G204" s="213"/>
      <c r="H204" s="213"/>
      <c r="I204" s="213"/>
      <c r="J204" s="213"/>
      <c r="K204" s="213"/>
      <c r="L204" s="213"/>
      <c r="M204" s="213"/>
      <c r="N204" s="214"/>
      <c r="O204" s="214"/>
      <c r="P204" s="214"/>
      <c r="Q204" s="214"/>
      <c r="R204" s="214"/>
      <c r="S204" s="214"/>
      <c r="T204" s="214"/>
      <c r="U204" s="214"/>
      <c r="V204" s="214"/>
      <c r="W204" s="214"/>
      <c r="X204" s="214"/>
    </row>
    <row r="205" spans="1:24" s="215" customFormat="1" x14ac:dyDescent="0.35">
      <c r="A205" s="213"/>
      <c r="B205" s="213"/>
      <c r="C205" s="213"/>
      <c r="D205" s="213"/>
      <c r="E205" s="213"/>
      <c r="F205" s="213"/>
      <c r="G205" s="213"/>
      <c r="H205" s="213"/>
      <c r="I205" s="213"/>
      <c r="J205" s="213"/>
      <c r="K205" s="213"/>
      <c r="L205" s="213"/>
      <c r="M205" s="213"/>
      <c r="N205" s="214"/>
      <c r="O205" s="214"/>
      <c r="P205" s="214"/>
      <c r="Q205" s="214"/>
      <c r="R205" s="214"/>
      <c r="S205" s="214"/>
      <c r="T205" s="214"/>
      <c r="U205" s="214"/>
      <c r="V205" s="214"/>
      <c r="W205" s="214"/>
      <c r="X205" s="214"/>
    </row>
    <row r="206" spans="1:24" s="215" customFormat="1" x14ac:dyDescent="0.35">
      <c r="A206" s="213"/>
      <c r="B206" s="213"/>
      <c r="C206" s="213"/>
      <c r="D206" s="213"/>
      <c r="E206" s="213"/>
      <c r="F206" s="213"/>
      <c r="G206" s="213"/>
      <c r="H206" s="213"/>
      <c r="I206" s="213"/>
      <c r="J206" s="213"/>
      <c r="K206" s="213"/>
      <c r="L206" s="213"/>
      <c r="M206" s="213"/>
      <c r="N206" s="214"/>
      <c r="O206" s="214"/>
      <c r="P206" s="214"/>
      <c r="Q206" s="214"/>
      <c r="R206" s="214"/>
      <c r="S206" s="214"/>
      <c r="T206" s="214"/>
      <c r="U206" s="214"/>
      <c r="V206" s="214"/>
      <c r="W206" s="214"/>
      <c r="X206" s="214"/>
    </row>
    <row r="207" spans="1:24" s="215" customFormat="1" x14ac:dyDescent="0.35">
      <c r="A207" s="213"/>
      <c r="B207" s="213"/>
      <c r="C207" s="213"/>
      <c r="D207" s="213"/>
      <c r="E207" s="213"/>
      <c r="F207" s="213"/>
      <c r="G207" s="213"/>
      <c r="H207" s="213"/>
      <c r="I207" s="213"/>
      <c r="J207" s="213"/>
      <c r="K207" s="213"/>
      <c r="L207" s="213"/>
      <c r="M207" s="213"/>
      <c r="N207" s="214"/>
      <c r="O207" s="214"/>
      <c r="P207" s="214"/>
      <c r="Q207" s="214"/>
      <c r="R207" s="214"/>
      <c r="S207" s="214"/>
      <c r="T207" s="214"/>
      <c r="U207" s="214"/>
      <c r="V207" s="214"/>
      <c r="W207" s="214"/>
      <c r="X207" s="214"/>
    </row>
    <row r="208" spans="1:24" s="215" customFormat="1" x14ac:dyDescent="0.35">
      <c r="A208" s="213"/>
      <c r="B208" s="213"/>
      <c r="C208" s="213"/>
      <c r="D208" s="213"/>
      <c r="E208" s="213"/>
      <c r="F208" s="213"/>
      <c r="G208" s="213"/>
      <c r="H208" s="213"/>
      <c r="I208" s="213"/>
      <c r="J208" s="213"/>
      <c r="K208" s="213"/>
      <c r="L208" s="213"/>
      <c r="M208" s="213"/>
      <c r="N208" s="214"/>
      <c r="O208" s="214"/>
      <c r="P208" s="214"/>
      <c r="Q208" s="214"/>
      <c r="R208" s="214"/>
      <c r="S208" s="214"/>
      <c r="T208" s="214"/>
      <c r="U208" s="214"/>
      <c r="V208" s="214"/>
      <c r="W208" s="214"/>
      <c r="X208" s="214"/>
    </row>
    <row r="209" spans="1:24" s="215" customFormat="1" x14ac:dyDescent="0.35">
      <c r="A209" s="213"/>
      <c r="B209" s="213"/>
      <c r="C209" s="213"/>
      <c r="D209" s="213"/>
      <c r="E209" s="213"/>
      <c r="F209" s="213"/>
      <c r="G209" s="213"/>
      <c r="H209" s="213"/>
      <c r="I209" s="213"/>
      <c r="J209" s="213"/>
      <c r="K209" s="213"/>
      <c r="L209" s="213"/>
      <c r="M209" s="213"/>
      <c r="N209" s="214"/>
      <c r="O209" s="214"/>
      <c r="P209" s="214"/>
      <c r="Q209" s="214"/>
      <c r="R209" s="214"/>
      <c r="S209" s="214"/>
      <c r="T209" s="214"/>
      <c r="U209" s="214"/>
      <c r="V209" s="214"/>
      <c r="W209" s="214"/>
      <c r="X209" s="214"/>
    </row>
    <row r="210" spans="1:24" s="215" customFormat="1" x14ac:dyDescent="0.35">
      <c r="A210" s="213"/>
      <c r="B210" s="213"/>
      <c r="C210" s="213"/>
      <c r="D210" s="213"/>
      <c r="E210" s="213"/>
      <c r="F210" s="213"/>
      <c r="G210" s="213"/>
      <c r="H210" s="213"/>
      <c r="I210" s="213"/>
      <c r="J210" s="213"/>
      <c r="K210" s="213"/>
      <c r="L210" s="213"/>
      <c r="M210" s="213"/>
      <c r="N210" s="214"/>
      <c r="O210" s="214"/>
      <c r="P210" s="214"/>
      <c r="Q210" s="214"/>
      <c r="R210" s="214"/>
      <c r="S210" s="214"/>
      <c r="T210" s="214"/>
      <c r="U210" s="214"/>
      <c r="V210" s="214"/>
      <c r="W210" s="214"/>
      <c r="X210" s="214"/>
    </row>
    <row r="211" spans="1:24" s="215" customFormat="1" x14ac:dyDescent="0.35">
      <c r="A211" s="213"/>
      <c r="B211" s="213"/>
      <c r="C211" s="213"/>
      <c r="D211" s="213"/>
      <c r="E211" s="213"/>
      <c r="F211" s="213"/>
      <c r="G211" s="213"/>
      <c r="H211" s="213"/>
      <c r="I211" s="213"/>
      <c r="J211" s="213"/>
      <c r="K211" s="213"/>
      <c r="L211" s="213"/>
      <c r="M211" s="213"/>
      <c r="N211" s="214"/>
      <c r="O211" s="214"/>
      <c r="P211" s="214"/>
      <c r="Q211" s="214"/>
      <c r="R211" s="214"/>
      <c r="S211" s="214"/>
      <c r="T211" s="214"/>
      <c r="U211" s="214"/>
      <c r="V211" s="214"/>
      <c r="W211" s="214"/>
      <c r="X211" s="214"/>
    </row>
    <row r="212" spans="1:24" s="215" customFormat="1" x14ac:dyDescent="0.35">
      <c r="A212" s="213"/>
      <c r="B212" s="213"/>
      <c r="C212" s="213"/>
      <c r="D212" s="213"/>
      <c r="E212" s="213"/>
      <c r="F212" s="213"/>
      <c r="G212" s="213"/>
      <c r="H212" s="213"/>
      <c r="I212" s="213"/>
      <c r="J212" s="213"/>
      <c r="K212" s="213"/>
      <c r="L212" s="213"/>
      <c r="M212" s="213"/>
      <c r="N212" s="214"/>
      <c r="O212" s="214"/>
      <c r="P212" s="214"/>
      <c r="Q212" s="214"/>
      <c r="R212" s="214"/>
      <c r="S212" s="214"/>
      <c r="T212" s="214"/>
      <c r="U212" s="214"/>
      <c r="V212" s="214"/>
      <c r="W212" s="214"/>
      <c r="X212" s="214"/>
    </row>
    <row r="213" spans="1:24" s="215" customFormat="1" x14ac:dyDescent="0.35">
      <c r="A213" s="213"/>
      <c r="B213" s="213"/>
      <c r="C213" s="213"/>
      <c r="D213" s="213"/>
      <c r="E213" s="213"/>
      <c r="F213" s="213"/>
      <c r="G213" s="213"/>
      <c r="H213" s="213"/>
      <c r="I213" s="213"/>
      <c r="J213" s="213"/>
      <c r="K213" s="213"/>
      <c r="L213" s="213"/>
      <c r="M213" s="213"/>
      <c r="N213" s="214"/>
      <c r="O213" s="214"/>
      <c r="P213" s="214"/>
      <c r="Q213" s="214"/>
      <c r="R213" s="214"/>
      <c r="S213" s="214"/>
      <c r="T213" s="214"/>
      <c r="U213" s="214"/>
      <c r="V213" s="214"/>
      <c r="W213" s="214"/>
      <c r="X213" s="214"/>
    </row>
    <row r="214" spans="1:24" s="215" customFormat="1" x14ac:dyDescent="0.35">
      <c r="A214" s="213"/>
      <c r="B214" s="213"/>
      <c r="C214" s="213"/>
      <c r="D214" s="213"/>
      <c r="E214" s="213"/>
      <c r="F214" s="213"/>
      <c r="G214" s="213"/>
      <c r="H214" s="213"/>
      <c r="I214" s="213"/>
      <c r="J214" s="213"/>
      <c r="K214" s="213"/>
      <c r="L214" s="213"/>
      <c r="M214" s="213"/>
      <c r="N214" s="214"/>
      <c r="O214" s="214"/>
      <c r="P214" s="214"/>
      <c r="Q214" s="214"/>
      <c r="R214" s="214"/>
      <c r="S214" s="214"/>
      <c r="T214" s="214"/>
      <c r="U214" s="214"/>
      <c r="V214" s="214"/>
      <c r="W214" s="214"/>
      <c r="X214" s="214"/>
    </row>
    <row r="215" spans="1:24" s="215" customFormat="1" x14ac:dyDescent="0.35">
      <c r="A215" s="213"/>
      <c r="B215" s="213"/>
      <c r="C215" s="213"/>
      <c r="D215" s="213"/>
      <c r="E215" s="213"/>
      <c r="F215" s="213"/>
      <c r="G215" s="213"/>
      <c r="H215" s="213"/>
      <c r="I215" s="213"/>
      <c r="J215" s="213"/>
      <c r="K215" s="213"/>
      <c r="L215" s="213"/>
      <c r="M215" s="213"/>
      <c r="N215" s="214"/>
      <c r="O215" s="214"/>
      <c r="P215" s="214"/>
      <c r="Q215" s="214"/>
      <c r="R215" s="214"/>
      <c r="S215" s="214"/>
      <c r="T215" s="214"/>
      <c r="U215" s="214"/>
      <c r="V215" s="214"/>
      <c r="W215" s="214"/>
      <c r="X215" s="214"/>
    </row>
    <row r="216" spans="1:24" s="215" customFormat="1" x14ac:dyDescent="0.35">
      <c r="A216" s="213"/>
      <c r="B216" s="213"/>
      <c r="C216" s="213"/>
      <c r="D216" s="213"/>
      <c r="E216" s="213"/>
      <c r="F216" s="213"/>
      <c r="G216" s="213"/>
      <c r="H216" s="213"/>
      <c r="I216" s="213"/>
      <c r="J216" s="213"/>
      <c r="K216" s="213"/>
      <c r="L216" s="213"/>
      <c r="M216" s="213"/>
      <c r="N216" s="214"/>
      <c r="O216" s="214"/>
      <c r="P216" s="214"/>
      <c r="Q216" s="214"/>
      <c r="R216" s="214"/>
      <c r="S216" s="214"/>
      <c r="T216" s="214"/>
      <c r="U216" s="214"/>
      <c r="V216" s="214"/>
      <c r="W216" s="214"/>
      <c r="X216" s="214"/>
    </row>
    <row r="217" spans="1:24" s="215" customFormat="1" x14ac:dyDescent="0.35">
      <c r="A217" s="213"/>
      <c r="B217" s="213"/>
      <c r="C217" s="213"/>
      <c r="D217" s="213"/>
      <c r="E217" s="213"/>
      <c r="F217" s="213"/>
      <c r="G217" s="213"/>
      <c r="H217" s="213"/>
      <c r="I217" s="213"/>
      <c r="J217" s="213"/>
      <c r="K217" s="213"/>
      <c r="L217" s="213"/>
      <c r="M217" s="213"/>
      <c r="N217" s="214"/>
      <c r="O217" s="214"/>
      <c r="P217" s="214"/>
      <c r="Q217" s="214"/>
      <c r="R217" s="214"/>
      <c r="S217" s="214"/>
      <c r="T217" s="214"/>
      <c r="U217" s="214"/>
      <c r="V217" s="214"/>
      <c r="W217" s="214"/>
      <c r="X217" s="214"/>
    </row>
    <row r="218" spans="1:24" s="215" customFormat="1" x14ac:dyDescent="0.35">
      <c r="A218" s="213"/>
      <c r="B218" s="213"/>
      <c r="C218" s="213"/>
      <c r="D218" s="213"/>
      <c r="E218" s="213"/>
      <c r="F218" s="213"/>
      <c r="G218" s="213"/>
      <c r="H218" s="213"/>
      <c r="I218" s="213"/>
      <c r="J218" s="213"/>
      <c r="K218" s="213"/>
      <c r="L218" s="213"/>
      <c r="M218" s="213"/>
      <c r="N218" s="214"/>
      <c r="O218" s="214"/>
      <c r="P218" s="214"/>
      <c r="Q218" s="214"/>
      <c r="R218" s="214"/>
      <c r="S218" s="214"/>
      <c r="T218" s="214"/>
      <c r="U218" s="214"/>
      <c r="V218" s="214"/>
      <c r="W218" s="214"/>
      <c r="X218" s="214"/>
    </row>
    <row r="219" spans="1:24" s="215" customFormat="1" x14ac:dyDescent="0.35">
      <c r="A219" s="213"/>
      <c r="B219" s="213"/>
      <c r="C219" s="213"/>
      <c r="D219" s="213"/>
      <c r="E219" s="213"/>
      <c r="F219" s="213"/>
      <c r="G219" s="213"/>
      <c r="H219" s="213"/>
      <c r="I219" s="213"/>
      <c r="J219" s="213"/>
      <c r="K219" s="213"/>
      <c r="L219" s="213"/>
      <c r="M219" s="213"/>
      <c r="N219" s="214"/>
      <c r="O219" s="214"/>
      <c r="P219" s="214"/>
      <c r="Q219" s="214"/>
      <c r="R219" s="214"/>
      <c r="S219" s="214"/>
      <c r="T219" s="214"/>
      <c r="U219" s="214"/>
      <c r="V219" s="214"/>
      <c r="W219" s="214"/>
      <c r="X219" s="214"/>
    </row>
  </sheetData>
  <sheetProtection algorithmName="SHA-512" hashValue="IW3Fbs2k+EpWp28eE1K6t+kKOHaXSL+m8gjuZe0rNDlKYShpXCx7jPAGcC4f0qqgEdkoVxeL96HJ1ukJapbxWQ==" saltValue="tHNFk45V/cqdBlRd/sTCWg==" spinCount="100000" sheet="1" objects="1" scenarios="1"/>
  <protectedRanges>
    <protectedRange algorithmName="SHA-512" hashValue="DleJB8OSOHMeOKZDIpIVVyx0MTE2XUK0jktaJh5zgDSyG+LyMmz62e0KPgmCCO4ueClPrb67aG0pQuIQG8WUfg==" saltValue="r1PJEwLnebjclLHoY00p/A==" spinCount="100000" sqref="A1:XFD1048576" name="Plage1"/>
  </protectedRanges>
  <mergeCells count="17">
    <mergeCell ref="E21:J21"/>
    <mergeCell ref="E22:J22"/>
    <mergeCell ref="E15:J15"/>
    <mergeCell ref="E16:J16"/>
    <mergeCell ref="E17:J17"/>
    <mergeCell ref="E18:J18"/>
    <mergeCell ref="E19:J19"/>
    <mergeCell ref="E20:J20"/>
    <mergeCell ref="E14:J14"/>
    <mergeCell ref="H2:H3"/>
    <mergeCell ref="I2:I3"/>
    <mergeCell ref="J2:L2"/>
    <mergeCell ref="B2:B3"/>
    <mergeCell ref="C2:C3"/>
    <mergeCell ref="D2:F2"/>
    <mergeCell ref="E12:J12"/>
    <mergeCell ref="E13:J13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0">
    <tabColor indexed="13"/>
  </sheetPr>
  <dimension ref="A1:I308"/>
  <sheetViews>
    <sheetView showGridLines="0" topLeftCell="A4" workbookViewId="0">
      <pane xSplit="1" ySplit="3" topLeftCell="B9" activePane="bottomRight" state="frozen"/>
      <selection activeCell="J216" sqref="I216:J216"/>
      <selection pane="topRight" activeCell="J216" sqref="I216:J216"/>
      <selection pane="bottomLeft" activeCell="J216" sqref="I216:J216"/>
      <selection pane="bottomRight" activeCell="C24" sqref="C24"/>
    </sheetView>
  </sheetViews>
  <sheetFormatPr baseColWidth="10" defaultColWidth="12" defaultRowHeight="13" x14ac:dyDescent="0.3"/>
  <cols>
    <col min="1" max="1" width="69.19921875" style="9" customWidth="1"/>
    <col min="2" max="4" width="12" style="9"/>
    <col min="5" max="5" width="17.19921875" style="9" customWidth="1"/>
    <col min="6" max="6" width="17.296875" style="9" customWidth="1"/>
    <col min="7" max="7" width="18.69921875" style="9" customWidth="1"/>
    <col min="8" max="8" width="16.796875" style="9" customWidth="1"/>
    <col min="9" max="9" width="17.796875" style="9" customWidth="1"/>
    <col min="10" max="16384" width="12" style="9"/>
  </cols>
  <sheetData>
    <row r="1" spans="1:9" ht="15" x14ac:dyDescent="0.3">
      <c r="A1" s="186" t="s">
        <v>113</v>
      </c>
    </row>
    <row r="2" spans="1:9" ht="9" customHeight="1" x14ac:dyDescent="0.35">
      <c r="A2" s="187"/>
    </row>
    <row r="3" spans="1:9" ht="19.5" customHeight="1" x14ac:dyDescent="0.35">
      <c r="A3" s="187" t="s">
        <v>114</v>
      </c>
    </row>
    <row r="4" spans="1:9" s="143" customFormat="1" x14ac:dyDescent="0.3">
      <c r="A4" s="188"/>
    </row>
    <row r="5" spans="1:9" s="143" customFormat="1" ht="21" customHeight="1" x14ac:dyDescent="0.3">
      <c r="A5" s="981" t="s">
        <v>49</v>
      </c>
      <c r="B5" s="979">
        <v>2017</v>
      </c>
      <c r="C5" s="979"/>
      <c r="D5" s="979"/>
      <c r="E5" s="980"/>
      <c r="F5" s="980"/>
      <c r="G5" s="980"/>
      <c r="H5" s="980"/>
      <c r="I5" s="979"/>
    </row>
    <row r="6" spans="1:9" s="143" customFormat="1" ht="25" customHeight="1" x14ac:dyDescent="0.3">
      <c r="A6" s="982"/>
      <c r="B6" s="121" t="s">
        <v>496</v>
      </c>
      <c r="C6" s="251" t="s">
        <v>497</v>
      </c>
      <c r="D6" s="121" t="s">
        <v>498</v>
      </c>
      <c r="E6" s="243" t="s">
        <v>555</v>
      </c>
      <c r="F6" s="243" t="s">
        <v>556</v>
      </c>
      <c r="G6" s="121" t="s">
        <v>557</v>
      </c>
      <c r="H6" s="249" t="s">
        <v>558</v>
      </c>
      <c r="I6" s="121" t="s">
        <v>499</v>
      </c>
    </row>
    <row r="7" spans="1:9" s="143" customFormat="1" ht="23.15" customHeight="1" x14ac:dyDescent="0.3">
      <c r="A7" s="258" t="s">
        <v>50</v>
      </c>
      <c r="B7" s="259">
        <v>60100</v>
      </c>
      <c r="C7" s="259">
        <v>380</v>
      </c>
      <c r="D7" s="260">
        <v>18</v>
      </c>
      <c r="E7" s="259">
        <v>2500</v>
      </c>
      <c r="F7" s="260">
        <v>670</v>
      </c>
      <c r="G7" s="259">
        <v>57</v>
      </c>
      <c r="H7" s="261">
        <v>0.1</v>
      </c>
      <c r="I7" s="262">
        <f>I8+I38+I52+I60</f>
        <v>78296.69</v>
      </c>
    </row>
    <row r="8" spans="1:9" s="143" customFormat="1" ht="15" customHeight="1" x14ac:dyDescent="0.3">
      <c r="A8" s="263" t="s">
        <v>51</v>
      </c>
      <c r="B8" s="264">
        <f>B9+B18+B35</f>
        <v>52304.11</v>
      </c>
      <c r="C8" s="264">
        <f t="shared" ref="C8:D8" si="0">C9+C18+C35</f>
        <v>88.58</v>
      </c>
      <c r="D8" s="264">
        <f t="shared" si="0"/>
        <v>3.03</v>
      </c>
      <c r="E8" s="265"/>
      <c r="F8" s="265"/>
      <c r="G8" s="265"/>
      <c r="H8" s="265"/>
      <c r="I8" s="266">
        <f>I9+I18+I35</f>
        <v>55421.549999999996</v>
      </c>
    </row>
    <row r="9" spans="1:9" s="143" customFormat="1" ht="15" customHeight="1" x14ac:dyDescent="0.3">
      <c r="A9" s="289" t="s">
        <v>52</v>
      </c>
      <c r="B9" s="294">
        <f>SUM(B10:B17)</f>
        <v>18621</v>
      </c>
      <c r="C9" s="295">
        <f t="shared" ref="C9:D9" si="1">SUM(C10:C17)</f>
        <v>60.769999999999996</v>
      </c>
      <c r="D9" s="295">
        <f t="shared" si="1"/>
        <v>1.33</v>
      </c>
      <c r="E9" s="296"/>
      <c r="F9" s="296"/>
      <c r="G9" s="296"/>
      <c r="H9" s="296"/>
      <c r="I9" s="290">
        <f>B9+(C9*PRP!$K$5)+(D9*PRP!$K$6)</f>
        <v>20536.59</v>
      </c>
    </row>
    <row r="10" spans="1:9" s="143" customFormat="1" ht="15" customHeight="1" x14ac:dyDescent="0.3">
      <c r="A10" s="208" t="s">
        <v>53</v>
      </c>
      <c r="B10" s="230">
        <v>237</v>
      </c>
      <c r="C10" s="237">
        <v>0.01</v>
      </c>
      <c r="D10" s="246">
        <v>0.02</v>
      </c>
      <c r="E10" s="237"/>
      <c r="F10" s="237"/>
      <c r="G10" s="237"/>
      <c r="H10" s="237"/>
      <c r="I10" s="257">
        <f>B10+(C10*PRP!$K$5)+(D10*PRP!$K$6)</f>
        <v>243.21</v>
      </c>
    </row>
    <row r="11" spans="1:9" s="143" customFormat="1" ht="15" customHeight="1" x14ac:dyDescent="0.3">
      <c r="A11" s="208" t="s">
        <v>559</v>
      </c>
      <c r="B11" s="230">
        <v>1700</v>
      </c>
      <c r="C11" s="237">
        <v>0.03</v>
      </c>
      <c r="D11" s="246">
        <v>0.01</v>
      </c>
      <c r="E11" s="237"/>
      <c r="F11" s="237"/>
      <c r="G11" s="237"/>
      <c r="H11" s="237"/>
      <c r="I11" s="257">
        <f>B11+(C11*PRP!$K$5)+(D11*PRP!$K$6)</f>
        <v>1703.73</v>
      </c>
    </row>
    <row r="12" spans="1:9" s="143" customFormat="1" ht="15" customHeight="1" x14ac:dyDescent="0.3">
      <c r="A12" s="208" t="s">
        <v>54</v>
      </c>
      <c r="B12" s="230">
        <v>316</v>
      </c>
      <c r="C12" s="237">
        <v>0.01</v>
      </c>
      <c r="D12" s="246">
        <v>0.01</v>
      </c>
      <c r="E12" s="237"/>
      <c r="F12" s="237"/>
      <c r="G12" s="237"/>
      <c r="H12" s="237"/>
      <c r="I12" s="257">
        <f>B12+(C12*PRP!$K$5)+(D12*PRP!$K$6)</f>
        <v>319.23</v>
      </c>
    </row>
    <row r="13" spans="1:9" s="143" customFormat="1" ht="15" customHeight="1" x14ac:dyDescent="0.3">
      <c r="A13" s="208" t="s">
        <v>55</v>
      </c>
      <c r="B13" s="230">
        <v>8710</v>
      </c>
      <c r="C13" s="237">
        <v>0.52</v>
      </c>
      <c r="D13" s="246">
        <v>0.36</v>
      </c>
      <c r="E13" s="237"/>
      <c r="F13" s="237"/>
      <c r="G13" s="237"/>
      <c r="H13" s="237"/>
      <c r="I13" s="257">
        <f>B13+(C13*PRP!$K$5)+(D13*PRP!$K$6)</f>
        <v>8830.2800000000007</v>
      </c>
    </row>
    <row r="14" spans="1:9" s="143" customFormat="1" ht="15" customHeight="1" x14ac:dyDescent="0.3">
      <c r="A14" s="208" t="s">
        <v>56</v>
      </c>
      <c r="B14" s="230">
        <v>348</v>
      </c>
      <c r="C14" s="237">
        <v>0.01</v>
      </c>
      <c r="D14" s="246">
        <v>0.01</v>
      </c>
      <c r="E14" s="237"/>
      <c r="F14" s="237"/>
      <c r="G14" s="237"/>
      <c r="H14" s="237"/>
      <c r="I14" s="257">
        <f>B14+(C14*PRP!$K$5)+(D14*PRP!$K$6)</f>
        <v>351.23</v>
      </c>
    </row>
    <row r="15" spans="1:9" s="143" customFormat="1" ht="15" customHeight="1" x14ac:dyDescent="0.3">
      <c r="A15" s="208" t="s">
        <v>57</v>
      </c>
      <c r="B15" s="230">
        <v>4480</v>
      </c>
      <c r="C15" s="237">
        <v>0.18</v>
      </c>
      <c r="D15" s="246">
        <v>0.1</v>
      </c>
      <c r="E15" s="237"/>
      <c r="F15" s="237"/>
      <c r="G15" s="237"/>
      <c r="H15" s="237"/>
      <c r="I15" s="257">
        <f>B15+(C15*PRP!$K$5)+(D15*PRP!$K$6)</f>
        <v>4514.3</v>
      </c>
    </row>
    <row r="16" spans="1:9" s="143" customFormat="1" ht="15" customHeight="1" x14ac:dyDescent="0.3">
      <c r="A16" s="208" t="s">
        <v>23</v>
      </c>
      <c r="B16" s="230">
        <v>2370</v>
      </c>
      <c r="C16" s="237">
        <v>60</v>
      </c>
      <c r="D16" s="246">
        <v>0.8</v>
      </c>
      <c r="E16" s="237"/>
      <c r="F16" s="237"/>
      <c r="G16" s="237"/>
      <c r="H16" s="237"/>
      <c r="I16" s="257">
        <f>B16+(C16*PRP!$K$5)+(D16*PRP!$K$6)</f>
        <v>4108.3999999999996</v>
      </c>
    </row>
    <row r="17" spans="1:9" s="143" customFormat="1" ht="15" customHeight="1" x14ac:dyDescent="0.3">
      <c r="A17" s="209" t="s">
        <v>58</v>
      </c>
      <c r="B17" s="297">
        <v>460</v>
      </c>
      <c r="C17" s="242">
        <v>0.01</v>
      </c>
      <c r="D17" s="298">
        <v>0.02</v>
      </c>
      <c r="E17" s="242"/>
      <c r="F17" s="242"/>
      <c r="G17" s="242"/>
      <c r="H17" s="242"/>
      <c r="I17" s="257">
        <f>B17+(C17*PRP!$K$5)+(D17*PRP!$K$6)</f>
        <v>466.21</v>
      </c>
    </row>
    <row r="18" spans="1:9" s="143" customFormat="1" ht="15" customHeight="1" x14ac:dyDescent="0.3">
      <c r="A18" s="279" t="s">
        <v>511</v>
      </c>
      <c r="B18" s="280">
        <f>B19+B20+B29+B30+B31</f>
        <v>33423.11</v>
      </c>
      <c r="C18" s="280">
        <f t="shared" ref="C18:D18" si="2">C19+C20+C29+C30+C31</f>
        <v>5.8100000000000005</v>
      </c>
      <c r="D18" s="280">
        <f t="shared" si="2"/>
        <v>1.68</v>
      </c>
      <c r="E18" s="277"/>
      <c r="F18" s="277"/>
      <c r="G18" s="277"/>
      <c r="H18" s="277"/>
      <c r="I18" s="290">
        <f>B18+(C18*PRP!K5)+(D18*PRP!K6)</f>
        <v>34069</v>
      </c>
    </row>
    <row r="19" spans="1:9" s="143" customFormat="1" ht="15" customHeight="1" x14ac:dyDescent="0.3">
      <c r="A19" s="208" t="s">
        <v>59</v>
      </c>
      <c r="B19" s="230">
        <v>716</v>
      </c>
      <c r="C19" s="237">
        <v>0.03</v>
      </c>
      <c r="D19" s="246">
        <v>0.02</v>
      </c>
      <c r="E19" s="237"/>
      <c r="F19" s="237"/>
      <c r="G19" s="237"/>
      <c r="H19" s="237"/>
      <c r="I19" s="257">
        <f>B19+(C19*PRP!$K$5)+(D19*PRP!$K$6)</f>
        <v>722.71</v>
      </c>
    </row>
    <row r="20" spans="1:9" s="143" customFormat="1" ht="15" customHeight="1" x14ac:dyDescent="0.3">
      <c r="A20" s="208" t="s">
        <v>60</v>
      </c>
      <c r="B20" s="230">
        <f>SUM(B21:B28)</f>
        <v>26695.11</v>
      </c>
      <c r="C20" s="230">
        <f t="shared" ref="C20:D20" si="3">SUM(C21:C28)</f>
        <v>1.8</v>
      </c>
      <c r="D20" s="230">
        <f t="shared" si="3"/>
        <v>1.24</v>
      </c>
      <c r="E20" s="237"/>
      <c r="F20" s="237"/>
      <c r="G20" s="237"/>
      <c r="H20" s="237"/>
      <c r="I20" s="257">
        <f>B20+(C20*PRP!$K$5)+(D20*PRP!$K$6)</f>
        <v>27109.63</v>
      </c>
    </row>
    <row r="21" spans="1:9" s="143" customFormat="1" ht="15" customHeight="1" x14ac:dyDescent="0.3">
      <c r="A21" s="292" t="s">
        <v>61</v>
      </c>
      <c r="B21" s="227">
        <v>8720</v>
      </c>
      <c r="C21" s="234">
        <v>0.7</v>
      </c>
      <c r="D21" s="244">
        <v>0.33</v>
      </c>
      <c r="E21" s="234"/>
      <c r="F21" s="234"/>
      <c r="G21" s="234"/>
      <c r="H21" s="234"/>
      <c r="I21" s="291">
        <f>B21+(C21*PRP!$K$5)+(D21*PRP!$K$6)</f>
        <v>8835.84</v>
      </c>
    </row>
    <row r="22" spans="1:9" s="143" customFormat="1" ht="15" customHeight="1" x14ac:dyDescent="0.3">
      <c r="A22" s="292" t="s">
        <v>62</v>
      </c>
      <c r="B22" s="227">
        <v>7950</v>
      </c>
      <c r="C22" s="234">
        <v>0.7</v>
      </c>
      <c r="D22" s="244">
        <v>0.28999999999999998</v>
      </c>
      <c r="E22" s="234"/>
      <c r="F22" s="234"/>
      <c r="G22" s="234"/>
      <c r="H22" s="234"/>
      <c r="I22" s="291">
        <f>B22+(C22*PRP!$K$5)+(D22*PRP!$K$6)</f>
        <v>8053.92</v>
      </c>
    </row>
    <row r="23" spans="1:9" s="143" customFormat="1" ht="15" customHeight="1" x14ac:dyDescent="0.3">
      <c r="A23" s="292" t="s">
        <v>63</v>
      </c>
      <c r="B23" s="227">
        <v>1880</v>
      </c>
      <c r="C23" s="234">
        <v>0.06</v>
      </c>
      <c r="D23" s="244">
        <v>0.16</v>
      </c>
      <c r="E23" s="234"/>
      <c r="F23" s="234"/>
      <c r="G23" s="234"/>
      <c r="H23" s="234"/>
      <c r="I23" s="291">
        <f>B23+(C23*PRP!$K$5)+(D23*PRP!$K$6)</f>
        <v>1929.18</v>
      </c>
    </row>
    <row r="24" spans="1:9" s="143" customFormat="1" ht="15" customHeight="1" x14ac:dyDescent="0.3">
      <c r="A24" s="292" t="s">
        <v>64</v>
      </c>
      <c r="B24" s="227">
        <v>70</v>
      </c>
      <c r="C24" s="234">
        <v>0.03</v>
      </c>
      <c r="D24" s="244">
        <v>0</v>
      </c>
      <c r="E24" s="234"/>
      <c r="F24" s="234"/>
      <c r="G24" s="234"/>
      <c r="H24" s="234"/>
      <c r="I24" s="291">
        <f>B24+(C24*PRP!$K$5)+(D24*PRP!$K$6)</f>
        <v>70.75</v>
      </c>
    </row>
    <row r="25" spans="1:9" s="143" customFormat="1" ht="15" customHeight="1" x14ac:dyDescent="0.3">
      <c r="A25" s="292" t="s">
        <v>65</v>
      </c>
      <c r="B25" s="227">
        <v>172</v>
      </c>
      <c r="C25" s="234">
        <v>0</v>
      </c>
      <c r="D25" s="244">
        <v>0.01</v>
      </c>
      <c r="E25" s="234"/>
      <c r="F25" s="234"/>
      <c r="G25" s="234"/>
      <c r="H25" s="234"/>
      <c r="I25" s="291">
        <f>B25+(C25*PRP!$K$5)+(D25*PRP!$K$6)</f>
        <v>174.98</v>
      </c>
    </row>
    <row r="26" spans="1:9" s="143" customFormat="1" ht="15" customHeight="1" x14ac:dyDescent="0.3">
      <c r="A26" s="292" t="s">
        <v>66</v>
      </c>
      <c r="B26" s="227">
        <v>203</v>
      </c>
      <c r="C26" s="234">
        <v>0.01</v>
      </c>
      <c r="D26" s="244">
        <v>0.02</v>
      </c>
      <c r="E26" s="234"/>
      <c r="F26" s="234"/>
      <c r="G26" s="234"/>
      <c r="H26" s="234"/>
      <c r="I26" s="291">
        <f>B26+(C26*PRP!$K$5)+(D26*PRP!$K$6)</f>
        <v>209.21</v>
      </c>
    </row>
    <row r="27" spans="1:9" s="143" customFormat="1" ht="15" customHeight="1" x14ac:dyDescent="0.3">
      <c r="A27" s="292" t="s">
        <v>67</v>
      </c>
      <c r="B27" s="227">
        <v>7700</v>
      </c>
      <c r="C27" s="234">
        <v>0.3</v>
      </c>
      <c r="D27" s="244">
        <v>0.43</v>
      </c>
      <c r="E27" s="234"/>
      <c r="F27" s="234"/>
      <c r="G27" s="234"/>
      <c r="H27" s="234"/>
      <c r="I27" s="291">
        <f>B27+(C27*PRP!$K$5)+(D27*PRP!$K$6)</f>
        <v>7835.64</v>
      </c>
    </row>
    <row r="28" spans="1:9" s="143" customFormat="1" ht="15" customHeight="1" x14ac:dyDescent="0.3">
      <c r="A28" s="292" t="s">
        <v>68</v>
      </c>
      <c r="B28" s="227">
        <v>0.11</v>
      </c>
      <c r="C28" s="234">
        <v>0</v>
      </c>
      <c r="D28" s="244">
        <v>0</v>
      </c>
      <c r="E28" s="234"/>
      <c r="F28" s="234"/>
      <c r="G28" s="234"/>
      <c r="H28" s="234"/>
      <c r="I28" s="291">
        <f>B28+(C28*PRP!$K$5)+(D28*PRP!$K$6)</f>
        <v>0.11</v>
      </c>
    </row>
    <row r="29" spans="1:9" s="143" customFormat="1" ht="15" customHeight="1" x14ac:dyDescent="0.3">
      <c r="A29" s="208" t="s">
        <v>69</v>
      </c>
      <c r="B29" s="230">
        <v>540</v>
      </c>
      <c r="C29" s="237">
        <v>0.03</v>
      </c>
      <c r="D29" s="246">
        <v>0.2</v>
      </c>
      <c r="E29" s="237"/>
      <c r="F29" s="237"/>
      <c r="G29" s="237"/>
      <c r="H29" s="237"/>
      <c r="I29" s="257">
        <f>B29+(C29*PRP!$K$5)+(D29*PRP!$K$6)</f>
        <v>600.35</v>
      </c>
    </row>
    <row r="30" spans="1:9" s="143" customFormat="1" ht="15" customHeight="1" x14ac:dyDescent="0.3">
      <c r="A30" s="208" t="s">
        <v>70</v>
      </c>
      <c r="B30" s="230">
        <v>951</v>
      </c>
      <c r="C30" s="237">
        <v>0.09</v>
      </c>
      <c r="D30" s="246">
        <v>0.03</v>
      </c>
      <c r="E30" s="237"/>
      <c r="F30" s="237"/>
      <c r="G30" s="237"/>
      <c r="H30" s="237"/>
      <c r="I30" s="257">
        <f>B30+(C30*PRP!$K$5)+(D30*PRP!$K$6)</f>
        <v>962.19</v>
      </c>
    </row>
    <row r="31" spans="1:9" s="143" customFormat="1" ht="15" customHeight="1" x14ac:dyDescent="0.3">
      <c r="A31" s="208" t="s">
        <v>560</v>
      </c>
      <c r="B31" s="230">
        <f>B32+B33+B34</f>
        <v>4521</v>
      </c>
      <c r="C31" s="230">
        <f t="shared" ref="C31:D31" si="4">C32+C33+C34</f>
        <v>3.86</v>
      </c>
      <c r="D31" s="236">
        <f t="shared" si="4"/>
        <v>0.19</v>
      </c>
      <c r="E31" s="237"/>
      <c r="F31" s="237"/>
      <c r="G31" s="237"/>
      <c r="H31" s="237"/>
      <c r="I31" s="257">
        <f>B31+(C31*PRP!$K$5)+(D31*PRP!$K$6)</f>
        <v>4674.12</v>
      </c>
    </row>
    <row r="32" spans="1:9" s="143" customFormat="1" ht="15" customHeight="1" x14ac:dyDescent="0.3">
      <c r="A32" s="292" t="s">
        <v>71</v>
      </c>
      <c r="B32" s="227">
        <f>794+202+840</f>
        <v>1836</v>
      </c>
      <c r="C32" s="234">
        <f>1+0.44+2</f>
        <v>3.44</v>
      </c>
      <c r="D32" s="244">
        <f>0.03+0.01+0.02</f>
        <v>0.06</v>
      </c>
      <c r="E32" s="234"/>
      <c r="F32" s="234"/>
      <c r="G32" s="234"/>
      <c r="H32" s="234"/>
      <c r="I32" s="291">
        <f>B32+(C32*PRP!$K$5)+(D32*PRP!$K$6)</f>
        <v>1939.88</v>
      </c>
    </row>
    <row r="33" spans="1:9" s="143" customFormat="1" ht="15" customHeight="1" x14ac:dyDescent="0.3">
      <c r="A33" s="292" t="s">
        <v>72</v>
      </c>
      <c r="B33" s="227">
        <f>650+1940</f>
        <v>2590</v>
      </c>
      <c r="C33" s="234">
        <f>0.03+0.29</f>
        <v>0.31999999999999995</v>
      </c>
      <c r="D33" s="244">
        <f>0.03+0.1</f>
        <v>0.13</v>
      </c>
      <c r="E33" s="234"/>
      <c r="F33" s="234"/>
      <c r="G33" s="234"/>
      <c r="H33" s="234"/>
      <c r="I33" s="291">
        <f>B33+(C33*PRP!$K$5)+(D33*PRP!$K$6)</f>
        <v>2636.74</v>
      </c>
    </row>
    <row r="34" spans="1:9" s="143" customFormat="1" ht="15" customHeight="1" x14ac:dyDescent="0.3">
      <c r="A34" s="293" t="s">
        <v>73</v>
      </c>
      <c r="B34" s="229">
        <v>95</v>
      </c>
      <c r="C34" s="235">
        <v>0.1</v>
      </c>
      <c r="D34" s="245">
        <v>0</v>
      </c>
      <c r="E34" s="234"/>
      <c r="F34" s="234"/>
      <c r="G34" s="234"/>
      <c r="H34" s="234"/>
      <c r="I34" s="291">
        <f>B34+(C34*PRP!$K$5)+(D34*PRP!$K$6)</f>
        <v>97.5</v>
      </c>
    </row>
    <row r="35" spans="1:9" s="143" customFormat="1" ht="15" customHeight="1" x14ac:dyDescent="0.3">
      <c r="A35" s="282" t="s">
        <v>512</v>
      </c>
      <c r="B35" s="283">
        <v>260</v>
      </c>
      <c r="C35" s="284">
        <v>22</v>
      </c>
      <c r="D35" s="285">
        <v>0.02</v>
      </c>
      <c r="E35" s="287"/>
      <c r="F35" s="288"/>
      <c r="G35" s="287"/>
      <c r="H35" s="288"/>
      <c r="I35" s="290">
        <f>B35+(C35*PRP!K5)+(D35*PRP!K6)</f>
        <v>815.96</v>
      </c>
    </row>
    <row r="36" spans="1:9" s="143" customFormat="1" ht="15" customHeight="1" x14ac:dyDescent="0.3">
      <c r="A36" s="252" t="s">
        <v>514</v>
      </c>
      <c r="B36" s="238" t="s">
        <v>17</v>
      </c>
      <c r="C36" s="238" t="s">
        <v>17</v>
      </c>
      <c r="D36" s="247" t="s">
        <v>17</v>
      </c>
      <c r="E36" s="247"/>
      <c r="F36" s="247"/>
      <c r="G36" s="247"/>
      <c r="H36" s="247"/>
      <c r="I36" s="232">
        <v>0</v>
      </c>
    </row>
    <row r="37" spans="1:9" s="143" customFormat="1" ht="15" customHeight="1" x14ac:dyDescent="0.3">
      <c r="A37" s="208" t="s">
        <v>74</v>
      </c>
      <c r="B37" s="231">
        <v>230</v>
      </c>
      <c r="C37" s="238">
        <v>4</v>
      </c>
      <c r="D37" s="247">
        <v>0.02</v>
      </c>
      <c r="E37" s="247"/>
      <c r="F37" s="247"/>
      <c r="G37" s="247"/>
      <c r="H37" s="247"/>
      <c r="I37" s="257">
        <f>B37+(C37*PRP!K5)+(D37*PRP!K6)</f>
        <v>335.96</v>
      </c>
    </row>
    <row r="38" spans="1:9" s="143" customFormat="1" ht="15" customHeight="1" x14ac:dyDescent="0.3">
      <c r="A38" s="267" t="s">
        <v>513</v>
      </c>
      <c r="B38" s="268">
        <f>B39+B43+B45+B49+B50+B51</f>
        <v>7303</v>
      </c>
      <c r="C38" s="268">
        <f t="shared" ref="C38:H38" si="5">C39+C43+C45+C49+C50+C51</f>
        <v>0</v>
      </c>
      <c r="D38" s="268">
        <f>D39+D43+D45+D49+D50+D51</f>
        <v>0.41</v>
      </c>
      <c r="E38" s="268">
        <f t="shared" si="5"/>
        <v>2500</v>
      </c>
      <c r="F38" s="268">
        <f t="shared" si="5"/>
        <v>4</v>
      </c>
      <c r="G38" s="268">
        <f t="shared" si="5"/>
        <v>22.83</v>
      </c>
      <c r="H38" s="268">
        <f t="shared" si="5"/>
        <v>0.1</v>
      </c>
      <c r="I38" s="268">
        <f>I39+I43+I45+I49+I50+I51</f>
        <v>10651.01</v>
      </c>
    </row>
    <row r="39" spans="1:9" s="303" customFormat="1" ht="15" customHeight="1" x14ac:dyDescent="0.3">
      <c r="A39" s="275" t="s">
        <v>75</v>
      </c>
      <c r="B39" s="304">
        <f>B40+B41+B42</f>
        <v>2136</v>
      </c>
      <c r="C39" s="284"/>
      <c r="D39" s="286"/>
      <c r="E39" s="284"/>
      <c r="F39" s="286"/>
      <c r="G39" s="284"/>
      <c r="H39" s="286"/>
      <c r="I39" s="278">
        <f>B39+(C39*PRP!K5)+(D39*PRP!K6)+E39+F39+G39</f>
        <v>2136</v>
      </c>
    </row>
    <row r="40" spans="1:9" s="143" customFormat="1" ht="15" customHeight="1" x14ac:dyDescent="0.3">
      <c r="A40" s="292" t="s">
        <v>76</v>
      </c>
      <c r="B40" s="233">
        <v>1600</v>
      </c>
      <c r="C40" s="239"/>
      <c r="D40" s="240"/>
      <c r="E40" s="239"/>
      <c r="F40" s="240"/>
      <c r="G40" s="239"/>
      <c r="H40" s="240"/>
      <c r="I40" s="291">
        <f>B40+(C40*PRP!K5)+(D40*PRP!K6)+E40+F40+G40</f>
        <v>1600</v>
      </c>
    </row>
    <row r="41" spans="1:9" s="143" customFormat="1" ht="15" customHeight="1" x14ac:dyDescent="0.3">
      <c r="A41" s="292" t="s">
        <v>77</v>
      </c>
      <c r="B41" s="233">
        <v>470</v>
      </c>
      <c r="C41" s="239"/>
      <c r="D41" s="240"/>
      <c r="E41" s="239"/>
      <c r="F41" s="240"/>
      <c r="G41" s="239"/>
      <c r="H41" s="240"/>
      <c r="I41" s="291">
        <f>B41+(C41*PRP!K6)+(D41*PRP!K7)+E41+F41+G41</f>
        <v>470</v>
      </c>
    </row>
    <row r="42" spans="1:9" s="143" customFormat="1" ht="15" customHeight="1" x14ac:dyDescent="0.3">
      <c r="A42" s="292" t="s">
        <v>561</v>
      </c>
      <c r="B42" s="233">
        <v>66</v>
      </c>
      <c r="C42" s="239"/>
      <c r="D42" s="240"/>
      <c r="E42" s="239"/>
      <c r="F42" s="240"/>
      <c r="G42" s="239"/>
      <c r="H42" s="240"/>
      <c r="I42" s="291">
        <f>B42+(C42*PRP!K7)+(D42*PRP!K8)+E42+F42+G42</f>
        <v>66</v>
      </c>
    </row>
    <row r="43" spans="1:9" s="303" customFormat="1" ht="15" customHeight="1" x14ac:dyDescent="0.3">
      <c r="A43" s="275" t="s">
        <v>78</v>
      </c>
      <c r="B43" s="305"/>
      <c r="C43" s="281"/>
      <c r="D43" s="306"/>
      <c r="E43" s="281"/>
      <c r="F43" s="306"/>
      <c r="G43" s="281"/>
      <c r="H43" s="306"/>
      <c r="I43" s="278">
        <f>B43+(C43*PRP!K5)+(D43*PRP!K6)+E43+F43+G43</f>
        <v>0</v>
      </c>
    </row>
    <row r="44" spans="1:9" s="143" customFormat="1" ht="15" customHeight="1" x14ac:dyDescent="0.3">
      <c r="A44" s="292" t="s">
        <v>79</v>
      </c>
      <c r="B44" s="126"/>
      <c r="C44" s="234"/>
      <c r="D44" s="241"/>
      <c r="E44" s="234"/>
      <c r="F44" s="241"/>
      <c r="G44" s="234"/>
      <c r="H44" s="241"/>
      <c r="I44" s="291">
        <f>B44+(C44*PRP!K5)+(D44*PRP!K6)+E44+F44+G44</f>
        <v>0</v>
      </c>
    </row>
    <row r="45" spans="1:9" s="303" customFormat="1" ht="15" customHeight="1" x14ac:dyDescent="0.3">
      <c r="A45" s="275" t="s">
        <v>80</v>
      </c>
      <c r="B45" s="305">
        <f>B46+B47+B48</f>
        <v>4572</v>
      </c>
      <c r="C45" s="281"/>
      <c r="D45" s="306"/>
      <c r="E45" s="281"/>
      <c r="F45" s="306"/>
      <c r="G45" s="281"/>
      <c r="H45" s="306"/>
      <c r="I45" s="278">
        <f>I46+I47+I48</f>
        <v>5271</v>
      </c>
    </row>
    <row r="46" spans="1:9" s="143" customFormat="1" ht="15" customHeight="1" x14ac:dyDescent="0.3">
      <c r="A46" s="292" t="s">
        <v>81</v>
      </c>
      <c r="B46" s="126">
        <v>22</v>
      </c>
      <c r="C46" s="234"/>
      <c r="D46" s="241"/>
      <c r="E46" s="234"/>
      <c r="F46" s="241"/>
      <c r="G46" s="234"/>
      <c r="H46" s="241"/>
      <c r="I46" s="291">
        <f>B46+(C46*PRP!K5)+(D46*PRP!K6)+E46+F46+G46</f>
        <v>22</v>
      </c>
    </row>
    <row r="47" spans="1:9" s="143" customFormat="1" ht="15" customHeight="1" x14ac:dyDescent="0.3">
      <c r="A47" s="292" t="s">
        <v>82</v>
      </c>
      <c r="B47" s="126">
        <v>4550</v>
      </c>
      <c r="C47" s="234"/>
      <c r="D47" s="241"/>
      <c r="E47" s="234"/>
      <c r="F47" s="241">
        <v>665</v>
      </c>
      <c r="G47" s="234">
        <v>8</v>
      </c>
      <c r="H47" s="241"/>
      <c r="I47" s="291">
        <f>B47+(C47*PRP!K6)+(D47*PRP!K7)+E47+F47+G47</f>
        <v>5223</v>
      </c>
    </row>
    <row r="48" spans="1:9" s="143" customFormat="1" ht="15" customHeight="1" x14ac:dyDescent="0.3">
      <c r="A48" s="292" t="s">
        <v>562</v>
      </c>
      <c r="B48" s="126"/>
      <c r="C48" s="234"/>
      <c r="D48" s="241"/>
      <c r="E48" s="234"/>
      <c r="F48" s="241"/>
      <c r="G48" s="234">
        <v>26</v>
      </c>
      <c r="H48" s="241"/>
      <c r="I48" s="291">
        <f>B48+(C48*PRP!K7)+(D48*PRP!K8)+E48+F48+G48</f>
        <v>26</v>
      </c>
    </row>
    <row r="49" spans="1:9" s="143" customFormat="1" ht="15" customHeight="1" x14ac:dyDescent="0.3">
      <c r="A49" s="275" t="s">
        <v>566</v>
      </c>
      <c r="B49" s="307"/>
      <c r="C49" s="277"/>
      <c r="D49" s="308"/>
      <c r="E49" s="277">
        <v>2500</v>
      </c>
      <c r="F49" s="308">
        <v>1</v>
      </c>
      <c r="G49" s="277">
        <v>0.83</v>
      </c>
      <c r="H49" s="308">
        <v>0.1</v>
      </c>
      <c r="I49" s="309">
        <f>B49+(C49*PRP!K5)+(D49*PRP!K6)+E49+F49+G49</f>
        <v>2501.83</v>
      </c>
    </row>
    <row r="50" spans="1:9" s="143" customFormat="1" ht="14.15" customHeight="1" x14ac:dyDescent="0.3">
      <c r="A50" s="275" t="s">
        <v>567</v>
      </c>
      <c r="B50" s="307">
        <v>590</v>
      </c>
      <c r="C50" s="277"/>
      <c r="D50" s="308"/>
      <c r="E50" s="277"/>
      <c r="F50" s="308"/>
      <c r="G50" s="277"/>
      <c r="H50" s="308"/>
      <c r="I50" s="309">
        <f>B50+(C50*PRP!K6)+(D50*PRP!K7)+E50+F50+G50</f>
        <v>590</v>
      </c>
    </row>
    <row r="51" spans="1:9" s="143" customFormat="1" ht="15" customHeight="1" x14ac:dyDescent="0.3">
      <c r="A51" s="275" t="s">
        <v>568</v>
      </c>
      <c r="B51" s="305">
        <v>5</v>
      </c>
      <c r="C51" s="277"/>
      <c r="D51" s="308">
        <v>0.41</v>
      </c>
      <c r="E51" s="277"/>
      <c r="F51" s="308">
        <v>3</v>
      </c>
      <c r="G51" s="277">
        <v>22</v>
      </c>
      <c r="H51" s="308"/>
      <c r="I51" s="309">
        <f>B51+(C51*PRP!K5)+(D51*PRP!K6)+F51+G51</f>
        <v>152.18</v>
      </c>
    </row>
    <row r="52" spans="1:9" s="143" customFormat="1" ht="15" customHeight="1" x14ac:dyDescent="0.3">
      <c r="A52" s="269" t="s">
        <v>83</v>
      </c>
      <c r="B52" s="311">
        <f>B53+B54+B55+B58+B59</f>
        <v>200</v>
      </c>
      <c r="C52" s="311">
        <f t="shared" ref="C52:H52" si="6">C53+C54+C55+C58+C59</f>
        <v>148.01</v>
      </c>
      <c r="D52" s="311">
        <f t="shared" si="6"/>
        <v>14</v>
      </c>
      <c r="E52" s="311">
        <f t="shared" si="6"/>
        <v>0</v>
      </c>
      <c r="F52" s="311">
        <f t="shared" si="6"/>
        <v>0</v>
      </c>
      <c r="G52" s="311">
        <f t="shared" si="6"/>
        <v>0</v>
      </c>
      <c r="H52" s="311">
        <f t="shared" si="6"/>
        <v>0</v>
      </c>
      <c r="I52" s="777">
        <f>I53+I54+I55+I58+I59</f>
        <v>8072.25</v>
      </c>
    </row>
    <row r="53" spans="1:9" s="143" customFormat="1" ht="15" customHeight="1" x14ac:dyDescent="0.3">
      <c r="A53" s="275" t="s">
        <v>84</v>
      </c>
      <c r="B53" s="290"/>
      <c r="C53" s="296">
        <v>100</v>
      </c>
      <c r="D53" s="296"/>
      <c r="E53" s="296"/>
      <c r="F53" s="296"/>
      <c r="G53" s="296"/>
      <c r="H53" s="775"/>
      <c r="I53" s="290">
        <f>B53+(C53*PRP!$K$5)+(D53*PRP!$K$6)+E53+F53+G53</f>
        <v>2500</v>
      </c>
    </row>
    <row r="54" spans="1:9" s="143" customFormat="1" ht="15" customHeight="1" x14ac:dyDescent="0.3">
      <c r="A54" s="275" t="s">
        <v>85</v>
      </c>
      <c r="B54" s="278"/>
      <c r="C54" s="281">
        <v>48</v>
      </c>
      <c r="D54" s="281">
        <v>2</v>
      </c>
      <c r="E54" s="281"/>
      <c r="F54" s="281"/>
      <c r="G54" s="281"/>
      <c r="H54" s="776"/>
      <c r="I54" s="278">
        <f>B54+(C54*PRP!$K$5)+(D54*PRP!$K$6)+E54+F54+G54</f>
        <v>1796</v>
      </c>
    </row>
    <row r="55" spans="1:9" s="143" customFormat="1" ht="15" customHeight="1" x14ac:dyDescent="0.3">
      <c r="A55" s="275" t="s">
        <v>86</v>
      </c>
      <c r="B55" s="278"/>
      <c r="C55" s="281"/>
      <c r="D55" s="281">
        <v>12</v>
      </c>
      <c r="E55" s="281"/>
      <c r="F55" s="281"/>
      <c r="G55" s="281"/>
      <c r="H55" s="776"/>
      <c r="I55" s="278">
        <f>B55+(C55*PRP!$K$5)+(D55*PRP!$K$6)+E55+F55+G55</f>
        <v>3576</v>
      </c>
    </row>
    <row r="56" spans="1:9" s="143" customFormat="1" ht="15" customHeight="1" x14ac:dyDescent="0.3">
      <c r="A56" s="292" t="s">
        <v>87</v>
      </c>
      <c r="B56" s="228"/>
      <c r="C56" s="234"/>
      <c r="D56" s="234">
        <v>10</v>
      </c>
      <c r="E56" s="234"/>
      <c r="F56" s="234"/>
      <c r="G56" s="234"/>
      <c r="H56" s="234"/>
      <c r="I56" s="291">
        <f>B56+(C56*PRP!K5)+(D56*PRP!K6)+E56+F56+G56</f>
        <v>2980</v>
      </c>
    </row>
    <row r="57" spans="1:9" s="143" customFormat="1" ht="15" customHeight="1" x14ac:dyDescent="0.3">
      <c r="A57" s="292" t="s">
        <v>88</v>
      </c>
      <c r="B57" s="228"/>
      <c r="C57" s="234"/>
      <c r="D57" s="234">
        <v>2</v>
      </c>
      <c r="E57" s="234"/>
      <c r="F57" s="234"/>
      <c r="G57" s="234"/>
      <c r="H57" s="234"/>
      <c r="I57" s="291">
        <f>B57+(C57*PRP!K5)+(D57*PRP!K6)+E57+F57+G57</f>
        <v>596</v>
      </c>
    </row>
    <row r="58" spans="1:9" s="143" customFormat="1" ht="15" customHeight="1" x14ac:dyDescent="0.3">
      <c r="A58" s="275" t="s">
        <v>569</v>
      </c>
      <c r="B58" s="278"/>
      <c r="C58" s="281">
        <v>0.01</v>
      </c>
      <c r="D58" s="281">
        <v>0</v>
      </c>
      <c r="E58" s="281"/>
      <c r="F58" s="281"/>
      <c r="G58" s="281"/>
      <c r="H58" s="281"/>
      <c r="I58" s="281">
        <f>B58+(C58*PRP!K5)+(D58*PRP!K6)+E58+F58+G58</f>
        <v>0.25</v>
      </c>
    </row>
    <row r="59" spans="1:9" x14ac:dyDescent="0.3">
      <c r="A59" s="253" t="s">
        <v>570</v>
      </c>
      <c r="B59" s="312">
        <v>200</v>
      </c>
      <c r="C59" s="312"/>
      <c r="D59" s="312"/>
      <c r="E59" s="312"/>
      <c r="F59" s="312"/>
      <c r="G59" s="312"/>
      <c r="H59" s="312"/>
      <c r="I59" s="250">
        <f>B59+(C59*PRP!K5)+(D59*PRP!K6)+E59+F59+G59</f>
        <v>200</v>
      </c>
    </row>
    <row r="60" spans="1:9" s="143" customFormat="1" ht="15" customHeight="1" x14ac:dyDescent="0.3">
      <c r="A60" s="313" t="s">
        <v>89</v>
      </c>
      <c r="B60" s="270">
        <v>70</v>
      </c>
      <c r="C60" s="271">
        <v>250</v>
      </c>
      <c r="D60" s="272">
        <v>0.6</v>
      </c>
      <c r="E60" s="271"/>
      <c r="F60" s="273"/>
      <c r="G60" s="271"/>
      <c r="H60" s="273"/>
      <c r="I60" s="274">
        <f>I61+I62+I63+I64</f>
        <v>4151.88</v>
      </c>
    </row>
    <row r="61" spans="1:9" s="143" customFormat="1" ht="15" customHeight="1" x14ac:dyDescent="0.3">
      <c r="A61" s="275" t="s">
        <v>572</v>
      </c>
      <c r="B61" s="276"/>
      <c r="C61" s="277">
        <v>150</v>
      </c>
      <c r="D61" s="310"/>
      <c r="E61" s="277"/>
      <c r="F61" s="308"/>
      <c r="G61" s="277"/>
      <c r="H61" s="308"/>
      <c r="I61" s="290">
        <f>B61+(C61*PRP!$K$5)+(D61*PRP!$K$6)+E61+F61+G61</f>
        <v>3750</v>
      </c>
    </row>
    <row r="62" spans="1:9" s="143" customFormat="1" ht="15" customHeight="1" x14ac:dyDescent="0.3">
      <c r="A62" s="275" t="s">
        <v>571</v>
      </c>
      <c r="B62" s="276"/>
      <c r="C62" s="277">
        <v>1</v>
      </c>
      <c r="D62" s="310">
        <v>0.06</v>
      </c>
      <c r="E62" s="277"/>
      <c r="F62" s="308"/>
      <c r="G62" s="277"/>
      <c r="H62" s="308"/>
      <c r="I62" s="278">
        <f>B62+(C62*PRP!$K$5)+(D62*PRP!$K$6)+E62+F62+G62</f>
        <v>42.879999999999995</v>
      </c>
    </row>
    <row r="63" spans="1:9" s="143" customFormat="1" ht="15" customHeight="1" x14ac:dyDescent="0.3">
      <c r="A63" s="275" t="s">
        <v>573</v>
      </c>
      <c r="B63" s="276"/>
      <c r="C63" s="277">
        <v>7</v>
      </c>
      <c r="D63" s="310">
        <v>0.4</v>
      </c>
      <c r="E63" s="277"/>
      <c r="F63" s="308"/>
      <c r="G63" s="277"/>
      <c r="H63" s="308"/>
      <c r="I63" s="278">
        <f>B63+(C63*PRP!$K$5)+(D63*PRP!$K$6)+E63+F63+G63</f>
        <v>294.2</v>
      </c>
    </row>
    <row r="64" spans="1:9" s="143" customFormat="1" ht="15" customHeight="1" x14ac:dyDescent="0.3">
      <c r="A64" s="253" t="s">
        <v>574</v>
      </c>
      <c r="B64" s="254">
        <v>10</v>
      </c>
      <c r="C64" s="248">
        <v>1</v>
      </c>
      <c r="D64" s="255">
        <v>0.1</v>
      </c>
      <c r="E64" s="248"/>
      <c r="F64" s="256"/>
      <c r="G64" s="248"/>
      <c r="H64" s="256"/>
      <c r="I64" s="250">
        <f>B64+(C64*PRP!$K$5)+(D64*PRP!$K$6)+E64+F64+G64</f>
        <v>64.8</v>
      </c>
    </row>
    <row r="66" spans="1:9" ht="21" customHeight="1" x14ac:dyDescent="0.3">
      <c r="A66" s="436" t="s">
        <v>554</v>
      </c>
      <c r="B66" s="129"/>
      <c r="C66" s="129"/>
      <c r="D66" s="129"/>
      <c r="E66" s="129"/>
      <c r="F66" s="129"/>
      <c r="G66" s="129"/>
      <c r="H66" s="129"/>
      <c r="I66" s="129"/>
    </row>
    <row r="67" spans="1:9" x14ac:dyDescent="0.3">
      <c r="A67" s="207" t="s">
        <v>553</v>
      </c>
      <c r="B67" s="129"/>
      <c r="C67" s="129"/>
      <c r="D67" s="129"/>
      <c r="E67" s="129"/>
      <c r="F67" s="129"/>
      <c r="G67" s="129"/>
      <c r="H67" s="129"/>
      <c r="I67" s="129"/>
    </row>
    <row r="68" spans="1:9" x14ac:dyDescent="0.3">
      <c r="A68" s="129"/>
      <c r="B68" s="129"/>
      <c r="C68" s="129"/>
      <c r="D68" s="129"/>
      <c r="E68" s="129"/>
      <c r="F68" s="129"/>
      <c r="G68" s="129"/>
      <c r="H68" s="129"/>
      <c r="I68" s="129"/>
    </row>
    <row r="69" spans="1:9" x14ac:dyDescent="0.3">
      <c r="A69" s="129"/>
      <c r="B69" s="129"/>
      <c r="C69" s="129"/>
      <c r="D69" s="129"/>
      <c r="E69" s="129"/>
      <c r="F69" s="129"/>
      <c r="G69" s="129"/>
      <c r="H69" s="129"/>
      <c r="I69" s="129"/>
    </row>
    <row r="70" spans="1:9" x14ac:dyDescent="0.3">
      <c r="A70" s="129"/>
      <c r="B70" s="129"/>
    </row>
    <row r="71" spans="1:9" x14ac:dyDescent="0.3">
      <c r="A71" s="129"/>
      <c r="B71" s="129"/>
    </row>
    <row r="72" spans="1:9" x14ac:dyDescent="0.3">
      <c r="A72" s="129"/>
      <c r="B72" s="129"/>
    </row>
    <row r="73" spans="1:9" x14ac:dyDescent="0.3">
      <c r="A73" s="129"/>
      <c r="B73" s="129"/>
    </row>
    <row r="74" spans="1:9" x14ac:dyDescent="0.3">
      <c r="A74" s="129"/>
      <c r="B74" s="129"/>
    </row>
    <row r="75" spans="1:9" x14ac:dyDescent="0.3">
      <c r="A75" s="129"/>
      <c r="B75" s="129"/>
    </row>
    <row r="76" spans="1:9" x14ac:dyDescent="0.3">
      <c r="A76" s="129"/>
      <c r="B76" s="129"/>
    </row>
    <row r="77" spans="1:9" x14ac:dyDescent="0.3">
      <c r="A77" s="129"/>
      <c r="B77" s="129"/>
    </row>
    <row r="78" spans="1:9" x14ac:dyDescent="0.3">
      <c r="A78" s="129"/>
      <c r="B78" s="129"/>
    </row>
    <row r="79" spans="1:9" x14ac:dyDescent="0.3">
      <c r="A79" s="129"/>
      <c r="B79" s="129"/>
    </row>
    <row r="80" spans="1:9" x14ac:dyDescent="0.3">
      <c r="A80" s="129"/>
      <c r="B80" s="129"/>
    </row>
    <row r="81" spans="1:2" x14ac:dyDescent="0.3">
      <c r="A81" s="129"/>
      <c r="B81" s="129"/>
    </row>
    <row r="82" spans="1:2" x14ac:dyDescent="0.3">
      <c r="A82" s="129"/>
      <c r="B82" s="129"/>
    </row>
    <row r="83" spans="1:2" x14ac:dyDescent="0.3">
      <c r="A83" s="129"/>
      <c r="B83" s="129"/>
    </row>
    <row r="84" spans="1:2" x14ac:dyDescent="0.3">
      <c r="A84" s="129"/>
      <c r="B84" s="129"/>
    </row>
    <row r="85" spans="1:2" x14ac:dyDescent="0.3">
      <c r="A85" s="129"/>
      <c r="B85" s="129"/>
    </row>
    <row r="86" spans="1:2" x14ac:dyDescent="0.3">
      <c r="A86" s="129"/>
      <c r="B86" s="129"/>
    </row>
    <row r="87" spans="1:2" x14ac:dyDescent="0.3">
      <c r="A87" s="129"/>
      <c r="B87" s="129"/>
    </row>
    <row r="88" spans="1:2" x14ac:dyDescent="0.3">
      <c r="A88" s="129"/>
      <c r="B88" s="129"/>
    </row>
    <row r="89" spans="1:2" x14ac:dyDescent="0.3">
      <c r="A89" s="129"/>
      <c r="B89" s="129"/>
    </row>
    <row r="90" spans="1:2" x14ac:dyDescent="0.3">
      <c r="A90" s="129"/>
      <c r="B90" s="129"/>
    </row>
    <row r="91" spans="1:2" x14ac:dyDescent="0.3">
      <c r="A91" s="129"/>
      <c r="B91" s="129"/>
    </row>
    <row r="92" spans="1:2" x14ac:dyDescent="0.3">
      <c r="A92" s="129"/>
      <c r="B92" s="129"/>
    </row>
    <row r="93" spans="1:2" x14ac:dyDescent="0.3">
      <c r="A93" s="129"/>
      <c r="B93" s="129"/>
    </row>
    <row r="94" spans="1:2" x14ac:dyDescent="0.3">
      <c r="A94" s="129"/>
      <c r="B94" s="129"/>
    </row>
    <row r="95" spans="1:2" x14ac:dyDescent="0.3">
      <c r="A95" s="129"/>
      <c r="B95" s="129"/>
    </row>
    <row r="96" spans="1:2" x14ac:dyDescent="0.3">
      <c r="A96" s="129"/>
      <c r="B96" s="129"/>
    </row>
    <row r="97" spans="1:2" x14ac:dyDescent="0.3">
      <c r="A97" s="129"/>
      <c r="B97" s="129"/>
    </row>
    <row r="98" spans="1:2" x14ac:dyDescent="0.3">
      <c r="A98" s="129"/>
      <c r="B98" s="129"/>
    </row>
    <row r="99" spans="1:2" x14ac:dyDescent="0.3">
      <c r="A99" s="129"/>
      <c r="B99" s="129"/>
    </row>
    <row r="100" spans="1:2" x14ac:dyDescent="0.3">
      <c r="A100" s="129"/>
      <c r="B100" s="129"/>
    </row>
    <row r="101" spans="1:2" x14ac:dyDescent="0.3">
      <c r="A101" s="129"/>
      <c r="B101" s="129"/>
    </row>
    <row r="102" spans="1:2" x14ac:dyDescent="0.3">
      <c r="A102" s="129"/>
      <c r="B102" s="129"/>
    </row>
    <row r="103" spans="1:2" x14ac:dyDescent="0.3">
      <c r="A103" s="129"/>
      <c r="B103" s="129"/>
    </row>
    <row r="104" spans="1:2" x14ac:dyDescent="0.3">
      <c r="A104" s="129"/>
      <c r="B104" s="129"/>
    </row>
    <row r="105" spans="1:2" x14ac:dyDescent="0.3">
      <c r="A105" s="129"/>
      <c r="B105" s="129"/>
    </row>
    <row r="106" spans="1:2" x14ac:dyDescent="0.3">
      <c r="A106" s="129"/>
      <c r="B106" s="129"/>
    </row>
    <row r="107" spans="1:2" x14ac:dyDescent="0.3">
      <c r="A107" s="129"/>
      <c r="B107" s="129"/>
    </row>
    <row r="108" spans="1:2" x14ac:dyDescent="0.3">
      <c r="A108" s="129"/>
      <c r="B108" s="129"/>
    </row>
    <row r="109" spans="1:2" x14ac:dyDescent="0.3">
      <c r="A109" s="129"/>
      <c r="B109" s="129"/>
    </row>
    <row r="110" spans="1:2" x14ac:dyDescent="0.3">
      <c r="A110" s="129"/>
      <c r="B110" s="129"/>
    </row>
    <row r="111" spans="1:2" x14ac:dyDescent="0.3">
      <c r="A111" s="129"/>
      <c r="B111" s="129"/>
    </row>
    <row r="112" spans="1:2" x14ac:dyDescent="0.3">
      <c r="A112" s="129"/>
      <c r="B112" s="129"/>
    </row>
    <row r="113" spans="1:2" x14ac:dyDescent="0.3">
      <c r="A113" s="129"/>
      <c r="B113" s="129"/>
    </row>
    <row r="114" spans="1:2" x14ac:dyDescent="0.3">
      <c r="A114" s="129"/>
      <c r="B114" s="129"/>
    </row>
    <row r="115" spans="1:2" x14ac:dyDescent="0.3">
      <c r="A115" s="129"/>
      <c r="B115" s="129"/>
    </row>
    <row r="116" spans="1:2" x14ac:dyDescent="0.3">
      <c r="A116" s="129"/>
      <c r="B116" s="129"/>
    </row>
    <row r="117" spans="1:2" x14ac:dyDescent="0.3">
      <c r="A117" s="129"/>
      <c r="B117" s="129"/>
    </row>
    <row r="118" spans="1:2" x14ac:dyDescent="0.3">
      <c r="A118" s="129"/>
      <c r="B118" s="129"/>
    </row>
    <row r="119" spans="1:2" x14ac:dyDescent="0.3">
      <c r="A119" s="129"/>
      <c r="B119" s="129"/>
    </row>
    <row r="120" spans="1:2" x14ac:dyDescent="0.3">
      <c r="A120" s="129"/>
      <c r="B120" s="129"/>
    </row>
    <row r="121" spans="1:2" x14ac:dyDescent="0.3">
      <c r="A121" s="129"/>
      <c r="B121" s="129"/>
    </row>
    <row r="122" spans="1:2" x14ac:dyDescent="0.3">
      <c r="A122" s="129"/>
      <c r="B122" s="129"/>
    </row>
    <row r="123" spans="1:2" x14ac:dyDescent="0.3">
      <c r="A123" s="129"/>
      <c r="B123" s="129"/>
    </row>
    <row r="124" spans="1:2" x14ac:dyDescent="0.3">
      <c r="A124" s="129"/>
      <c r="B124" s="129"/>
    </row>
    <row r="125" spans="1:2" x14ac:dyDescent="0.3">
      <c r="A125" s="129"/>
      <c r="B125" s="129"/>
    </row>
    <row r="126" spans="1:2" x14ac:dyDescent="0.3">
      <c r="A126" s="129"/>
      <c r="B126" s="129"/>
    </row>
    <row r="127" spans="1:2" x14ac:dyDescent="0.3">
      <c r="A127" s="129"/>
      <c r="B127" s="129"/>
    </row>
    <row r="128" spans="1:2" x14ac:dyDescent="0.3">
      <c r="A128" s="129"/>
      <c r="B128" s="129"/>
    </row>
    <row r="129" spans="1:2" x14ac:dyDescent="0.3">
      <c r="A129" s="129"/>
      <c r="B129" s="129"/>
    </row>
    <row r="130" spans="1:2" x14ac:dyDescent="0.3">
      <c r="A130" s="129"/>
      <c r="B130" s="129"/>
    </row>
    <row r="131" spans="1:2" x14ac:dyDescent="0.3">
      <c r="A131" s="129"/>
      <c r="B131" s="129"/>
    </row>
    <row r="132" spans="1:2" x14ac:dyDescent="0.3">
      <c r="A132" s="129"/>
      <c r="B132" s="129"/>
    </row>
    <row r="133" spans="1:2" x14ac:dyDescent="0.3">
      <c r="A133" s="129"/>
      <c r="B133" s="129"/>
    </row>
    <row r="134" spans="1:2" x14ac:dyDescent="0.3">
      <c r="A134" s="129"/>
      <c r="B134" s="129"/>
    </row>
    <row r="135" spans="1:2" x14ac:dyDescent="0.3">
      <c r="A135" s="129"/>
      <c r="B135" s="129"/>
    </row>
    <row r="136" spans="1:2" x14ac:dyDescent="0.3">
      <c r="A136" s="129"/>
      <c r="B136" s="129"/>
    </row>
    <row r="137" spans="1:2" x14ac:dyDescent="0.3">
      <c r="A137" s="129"/>
      <c r="B137" s="129"/>
    </row>
    <row r="138" spans="1:2" x14ac:dyDescent="0.3">
      <c r="A138" s="129"/>
      <c r="B138" s="129"/>
    </row>
    <row r="139" spans="1:2" x14ac:dyDescent="0.3">
      <c r="A139" s="129"/>
      <c r="B139" s="129"/>
    </row>
    <row r="140" spans="1:2" x14ac:dyDescent="0.3">
      <c r="A140" s="129"/>
      <c r="B140" s="129"/>
    </row>
    <row r="141" spans="1:2" x14ac:dyDescent="0.3">
      <c r="A141" s="129"/>
      <c r="B141" s="129"/>
    </row>
    <row r="142" spans="1:2" x14ac:dyDescent="0.3">
      <c r="A142" s="129"/>
      <c r="B142" s="129"/>
    </row>
    <row r="143" spans="1:2" x14ac:dyDescent="0.3">
      <c r="A143" s="129"/>
      <c r="B143" s="129"/>
    </row>
    <row r="144" spans="1:2" x14ac:dyDescent="0.3">
      <c r="A144" s="129"/>
      <c r="B144" s="129"/>
    </row>
    <row r="145" spans="1:2" x14ac:dyDescent="0.3">
      <c r="A145" s="129"/>
      <c r="B145" s="129"/>
    </row>
    <row r="146" spans="1:2" x14ac:dyDescent="0.3">
      <c r="A146" s="129"/>
      <c r="B146" s="129"/>
    </row>
    <row r="147" spans="1:2" x14ac:dyDescent="0.3">
      <c r="A147" s="129"/>
      <c r="B147" s="129"/>
    </row>
    <row r="148" spans="1:2" x14ac:dyDescent="0.3">
      <c r="A148" s="129"/>
      <c r="B148" s="129"/>
    </row>
    <row r="149" spans="1:2" x14ac:dyDescent="0.3">
      <c r="A149" s="129"/>
      <c r="B149" s="129"/>
    </row>
    <row r="150" spans="1:2" x14ac:dyDescent="0.3">
      <c r="A150" s="129"/>
      <c r="B150" s="129"/>
    </row>
    <row r="151" spans="1:2" x14ac:dyDescent="0.3">
      <c r="A151" s="129"/>
      <c r="B151" s="129"/>
    </row>
    <row r="152" spans="1:2" x14ac:dyDescent="0.3">
      <c r="A152" s="129"/>
      <c r="B152" s="129"/>
    </row>
    <row r="153" spans="1:2" x14ac:dyDescent="0.3">
      <c r="A153" s="129"/>
      <c r="B153" s="129"/>
    </row>
    <row r="154" spans="1:2" x14ac:dyDescent="0.3">
      <c r="A154" s="129"/>
      <c r="B154" s="129"/>
    </row>
    <row r="155" spans="1:2" x14ac:dyDescent="0.3">
      <c r="A155" s="129"/>
      <c r="B155" s="129"/>
    </row>
    <row r="156" spans="1:2" x14ac:dyDescent="0.3">
      <c r="A156" s="129"/>
      <c r="B156" s="129"/>
    </row>
    <row r="157" spans="1:2" x14ac:dyDescent="0.3">
      <c r="A157" s="129"/>
      <c r="B157" s="129"/>
    </row>
    <row r="158" spans="1:2" x14ac:dyDescent="0.3">
      <c r="A158" s="129"/>
      <c r="B158" s="129"/>
    </row>
    <row r="159" spans="1:2" x14ac:dyDescent="0.3">
      <c r="A159" s="129"/>
      <c r="B159" s="129"/>
    </row>
    <row r="160" spans="1:2" x14ac:dyDescent="0.3">
      <c r="A160" s="129"/>
      <c r="B160" s="129"/>
    </row>
    <row r="161" spans="1:2" x14ac:dyDescent="0.3">
      <c r="A161" s="129"/>
      <c r="B161" s="129"/>
    </row>
    <row r="162" spans="1:2" x14ac:dyDescent="0.3">
      <c r="A162" s="129"/>
      <c r="B162" s="129"/>
    </row>
    <row r="163" spans="1:2" x14ac:dyDescent="0.3">
      <c r="A163" s="129"/>
      <c r="B163" s="129"/>
    </row>
    <row r="164" spans="1:2" x14ac:dyDescent="0.3">
      <c r="A164" s="129"/>
      <c r="B164" s="129"/>
    </row>
    <row r="165" spans="1:2" x14ac:dyDescent="0.3">
      <c r="A165" s="129"/>
      <c r="B165" s="129"/>
    </row>
    <row r="166" spans="1:2" x14ac:dyDescent="0.3">
      <c r="A166" s="129"/>
      <c r="B166" s="129"/>
    </row>
    <row r="167" spans="1:2" x14ac:dyDescent="0.3">
      <c r="A167" s="129"/>
      <c r="B167" s="129"/>
    </row>
    <row r="168" spans="1:2" x14ac:dyDescent="0.3">
      <c r="A168" s="129"/>
      <c r="B168" s="129"/>
    </row>
    <row r="169" spans="1:2" x14ac:dyDescent="0.3">
      <c r="A169" s="129"/>
      <c r="B169" s="129"/>
    </row>
    <row r="170" spans="1:2" x14ac:dyDescent="0.3">
      <c r="A170" s="129"/>
      <c r="B170" s="129"/>
    </row>
    <row r="171" spans="1:2" x14ac:dyDescent="0.3">
      <c r="A171" s="129"/>
      <c r="B171" s="129"/>
    </row>
    <row r="172" spans="1:2" x14ac:dyDescent="0.3">
      <c r="A172" s="129"/>
      <c r="B172" s="129"/>
    </row>
    <row r="173" spans="1:2" x14ac:dyDescent="0.3">
      <c r="A173" s="129"/>
      <c r="B173" s="129"/>
    </row>
    <row r="174" spans="1:2" x14ac:dyDescent="0.3">
      <c r="A174" s="129"/>
      <c r="B174" s="129"/>
    </row>
    <row r="175" spans="1:2" x14ac:dyDescent="0.3">
      <c r="A175" s="129"/>
      <c r="B175" s="129"/>
    </row>
    <row r="176" spans="1:2" x14ac:dyDescent="0.3">
      <c r="A176" s="129"/>
      <c r="B176" s="129"/>
    </row>
    <row r="177" spans="1:2" x14ac:dyDescent="0.3">
      <c r="A177" s="129"/>
      <c r="B177" s="129"/>
    </row>
    <row r="178" spans="1:2" x14ac:dyDescent="0.3">
      <c r="A178" s="129"/>
      <c r="B178" s="129"/>
    </row>
    <row r="179" spans="1:2" x14ac:dyDescent="0.3">
      <c r="A179" s="129"/>
      <c r="B179" s="129"/>
    </row>
    <row r="180" spans="1:2" x14ac:dyDescent="0.3">
      <c r="A180" s="129"/>
      <c r="B180" s="129"/>
    </row>
    <row r="181" spans="1:2" x14ac:dyDescent="0.3">
      <c r="A181" s="129"/>
      <c r="B181" s="129"/>
    </row>
    <row r="182" spans="1:2" x14ac:dyDescent="0.3">
      <c r="A182" s="129"/>
      <c r="B182" s="129"/>
    </row>
    <row r="183" spans="1:2" x14ac:dyDescent="0.3">
      <c r="A183" s="129"/>
      <c r="B183" s="129"/>
    </row>
    <row r="184" spans="1:2" x14ac:dyDescent="0.3">
      <c r="A184" s="129"/>
      <c r="B184" s="129"/>
    </row>
    <row r="185" spans="1:2" x14ac:dyDescent="0.3">
      <c r="A185" s="129"/>
      <c r="B185" s="129"/>
    </row>
    <row r="186" spans="1:2" x14ac:dyDescent="0.3">
      <c r="A186" s="129"/>
      <c r="B186" s="129"/>
    </row>
    <row r="187" spans="1:2" x14ac:dyDescent="0.3">
      <c r="A187" s="129"/>
      <c r="B187" s="129"/>
    </row>
    <row r="188" spans="1:2" x14ac:dyDescent="0.3">
      <c r="A188" s="129"/>
      <c r="B188" s="129"/>
    </row>
    <row r="189" spans="1:2" x14ac:dyDescent="0.3">
      <c r="A189" s="129"/>
      <c r="B189" s="129"/>
    </row>
    <row r="190" spans="1:2" x14ac:dyDescent="0.3">
      <c r="A190" s="129"/>
      <c r="B190" s="129"/>
    </row>
    <row r="191" spans="1:2" x14ac:dyDescent="0.3">
      <c r="A191" s="129"/>
      <c r="B191" s="129"/>
    </row>
    <row r="192" spans="1:2" x14ac:dyDescent="0.3">
      <c r="A192" s="129"/>
      <c r="B192" s="129"/>
    </row>
    <row r="193" spans="1:2" x14ac:dyDescent="0.3">
      <c r="A193" s="129"/>
      <c r="B193" s="129"/>
    </row>
    <row r="194" spans="1:2" x14ac:dyDescent="0.3">
      <c r="A194" s="129"/>
      <c r="B194" s="129"/>
    </row>
    <row r="195" spans="1:2" x14ac:dyDescent="0.3">
      <c r="A195" s="129"/>
      <c r="B195" s="129"/>
    </row>
    <row r="196" spans="1:2" x14ac:dyDescent="0.3">
      <c r="A196" s="129"/>
      <c r="B196" s="129"/>
    </row>
    <row r="197" spans="1:2" x14ac:dyDescent="0.3">
      <c r="A197" s="129"/>
      <c r="B197" s="129"/>
    </row>
    <row r="198" spans="1:2" x14ac:dyDescent="0.3">
      <c r="A198" s="129"/>
      <c r="B198" s="129"/>
    </row>
    <row r="199" spans="1:2" x14ac:dyDescent="0.3">
      <c r="A199" s="129"/>
      <c r="B199" s="129"/>
    </row>
    <row r="200" spans="1:2" x14ac:dyDescent="0.3">
      <c r="A200" s="129"/>
      <c r="B200" s="129"/>
    </row>
    <row r="201" spans="1:2" x14ac:dyDescent="0.3">
      <c r="A201" s="129"/>
      <c r="B201" s="129"/>
    </row>
    <row r="202" spans="1:2" x14ac:dyDescent="0.3">
      <c r="A202" s="129"/>
      <c r="B202" s="129"/>
    </row>
    <row r="203" spans="1:2" x14ac:dyDescent="0.3">
      <c r="A203" s="129"/>
      <c r="B203" s="129"/>
    </row>
    <row r="204" spans="1:2" x14ac:dyDescent="0.3">
      <c r="A204" s="129"/>
      <c r="B204" s="129"/>
    </row>
    <row r="205" spans="1:2" x14ac:dyDescent="0.3">
      <c r="A205" s="129"/>
      <c r="B205" s="129"/>
    </row>
    <row r="206" spans="1:2" x14ac:dyDescent="0.3">
      <c r="A206" s="129"/>
      <c r="B206" s="129"/>
    </row>
    <row r="207" spans="1:2" x14ac:dyDescent="0.3">
      <c r="A207" s="129"/>
      <c r="B207" s="129"/>
    </row>
    <row r="208" spans="1:2" x14ac:dyDescent="0.3">
      <c r="A208" s="129"/>
      <c r="B208" s="129"/>
    </row>
    <row r="209" spans="1:2" x14ac:dyDescent="0.3">
      <c r="A209" s="129"/>
      <c r="B209" s="129"/>
    </row>
    <row r="210" spans="1:2" x14ac:dyDescent="0.3">
      <c r="A210" s="129"/>
      <c r="B210" s="129"/>
    </row>
    <row r="211" spans="1:2" x14ac:dyDescent="0.3">
      <c r="A211" s="129"/>
      <c r="B211" s="129"/>
    </row>
    <row r="212" spans="1:2" x14ac:dyDescent="0.3">
      <c r="A212" s="129"/>
      <c r="B212" s="129"/>
    </row>
    <row r="213" spans="1:2" x14ac:dyDescent="0.3">
      <c r="A213" s="129"/>
      <c r="B213" s="129"/>
    </row>
    <row r="214" spans="1:2" x14ac:dyDescent="0.3">
      <c r="A214" s="129"/>
      <c r="B214" s="129"/>
    </row>
    <row r="215" spans="1:2" x14ac:dyDescent="0.3">
      <c r="A215" s="129"/>
      <c r="B215" s="129"/>
    </row>
    <row r="216" spans="1:2" x14ac:dyDescent="0.3">
      <c r="A216" s="129"/>
      <c r="B216" s="129"/>
    </row>
    <row r="217" spans="1:2" x14ac:dyDescent="0.3">
      <c r="A217" s="129"/>
      <c r="B217" s="129"/>
    </row>
    <row r="218" spans="1:2" x14ac:dyDescent="0.3">
      <c r="A218" s="129"/>
      <c r="B218" s="129"/>
    </row>
    <row r="219" spans="1:2" x14ac:dyDescent="0.3">
      <c r="A219" s="129"/>
      <c r="B219" s="129"/>
    </row>
    <row r="220" spans="1:2" x14ac:dyDescent="0.3">
      <c r="A220" s="129"/>
      <c r="B220" s="129"/>
    </row>
    <row r="221" spans="1:2" x14ac:dyDescent="0.3">
      <c r="A221" s="129"/>
      <c r="B221" s="129"/>
    </row>
    <row r="222" spans="1:2" x14ac:dyDescent="0.3">
      <c r="A222" s="129"/>
      <c r="B222" s="129"/>
    </row>
    <row r="223" spans="1:2" x14ac:dyDescent="0.3">
      <c r="A223" s="129"/>
      <c r="B223" s="129"/>
    </row>
    <row r="224" spans="1:2" x14ac:dyDescent="0.3">
      <c r="A224" s="129"/>
      <c r="B224" s="129"/>
    </row>
    <row r="225" spans="1:2" x14ac:dyDescent="0.3">
      <c r="A225" s="129"/>
      <c r="B225" s="129"/>
    </row>
    <row r="226" spans="1:2" x14ac:dyDescent="0.3">
      <c r="A226" s="129"/>
      <c r="B226" s="129"/>
    </row>
    <row r="227" spans="1:2" x14ac:dyDescent="0.3">
      <c r="A227" s="129"/>
      <c r="B227" s="129"/>
    </row>
    <row r="228" spans="1:2" x14ac:dyDescent="0.3">
      <c r="A228" s="129"/>
      <c r="B228" s="129"/>
    </row>
    <row r="229" spans="1:2" x14ac:dyDescent="0.3">
      <c r="A229" s="129"/>
      <c r="B229" s="129"/>
    </row>
    <row r="230" spans="1:2" x14ac:dyDescent="0.3">
      <c r="A230" s="129"/>
      <c r="B230" s="129"/>
    </row>
    <row r="231" spans="1:2" x14ac:dyDescent="0.3">
      <c r="A231" s="129"/>
      <c r="B231" s="129"/>
    </row>
    <row r="232" spans="1:2" x14ac:dyDescent="0.3">
      <c r="A232" s="129"/>
      <c r="B232" s="129"/>
    </row>
    <row r="233" spans="1:2" x14ac:dyDescent="0.3">
      <c r="A233" s="129"/>
      <c r="B233" s="129"/>
    </row>
    <row r="234" spans="1:2" x14ac:dyDescent="0.3">
      <c r="A234" s="129"/>
      <c r="B234" s="129"/>
    </row>
    <row r="235" spans="1:2" x14ac:dyDescent="0.3">
      <c r="A235" s="129"/>
      <c r="B235" s="129"/>
    </row>
    <row r="236" spans="1:2" x14ac:dyDescent="0.3">
      <c r="A236" s="129"/>
      <c r="B236" s="129"/>
    </row>
    <row r="237" spans="1:2" x14ac:dyDescent="0.3">
      <c r="A237" s="129"/>
      <c r="B237" s="129"/>
    </row>
    <row r="238" spans="1:2" x14ac:dyDescent="0.3">
      <c r="A238" s="129"/>
      <c r="B238" s="129"/>
    </row>
    <row r="239" spans="1:2" x14ac:dyDescent="0.3">
      <c r="A239" s="129"/>
      <c r="B239" s="129"/>
    </row>
    <row r="240" spans="1:2" x14ac:dyDescent="0.3">
      <c r="A240" s="129"/>
      <c r="B240" s="129"/>
    </row>
    <row r="241" spans="1:2" x14ac:dyDescent="0.3">
      <c r="A241" s="129"/>
      <c r="B241" s="129"/>
    </row>
    <row r="242" spans="1:2" x14ac:dyDescent="0.3">
      <c r="A242" s="129"/>
      <c r="B242" s="129"/>
    </row>
    <row r="243" spans="1:2" x14ac:dyDescent="0.3">
      <c r="A243" s="129"/>
      <c r="B243" s="129"/>
    </row>
    <row r="244" spans="1:2" x14ac:dyDescent="0.3">
      <c r="A244" s="129"/>
      <c r="B244" s="129"/>
    </row>
    <row r="245" spans="1:2" x14ac:dyDescent="0.3">
      <c r="A245" s="129"/>
      <c r="B245" s="129"/>
    </row>
    <row r="246" spans="1:2" x14ac:dyDescent="0.3">
      <c r="A246" s="129"/>
      <c r="B246" s="129"/>
    </row>
    <row r="247" spans="1:2" x14ac:dyDescent="0.3">
      <c r="A247" s="129"/>
      <c r="B247" s="129"/>
    </row>
    <row r="248" spans="1:2" x14ac:dyDescent="0.3">
      <c r="A248" s="129"/>
      <c r="B248" s="129"/>
    </row>
    <row r="249" spans="1:2" x14ac:dyDescent="0.3">
      <c r="A249" s="129"/>
      <c r="B249" s="129"/>
    </row>
    <row r="250" spans="1:2" x14ac:dyDescent="0.3">
      <c r="A250" s="129"/>
      <c r="B250" s="129"/>
    </row>
    <row r="251" spans="1:2" x14ac:dyDescent="0.3">
      <c r="A251" s="129"/>
      <c r="B251" s="129"/>
    </row>
    <row r="252" spans="1:2" x14ac:dyDescent="0.3">
      <c r="A252" s="129"/>
      <c r="B252" s="129"/>
    </row>
    <row r="253" spans="1:2" x14ac:dyDescent="0.3">
      <c r="A253" s="129"/>
      <c r="B253" s="129"/>
    </row>
    <row r="254" spans="1:2" x14ac:dyDescent="0.3">
      <c r="A254" s="129"/>
      <c r="B254" s="129"/>
    </row>
    <row r="255" spans="1:2" x14ac:dyDescent="0.3">
      <c r="A255" s="129"/>
      <c r="B255" s="129"/>
    </row>
    <row r="256" spans="1:2" x14ac:dyDescent="0.3">
      <c r="A256" s="129"/>
      <c r="B256" s="129"/>
    </row>
    <row r="257" spans="1:2" x14ac:dyDescent="0.3">
      <c r="A257" s="129"/>
      <c r="B257" s="129"/>
    </row>
    <row r="258" spans="1:2" x14ac:dyDescent="0.3">
      <c r="A258" s="129"/>
      <c r="B258" s="129"/>
    </row>
    <row r="259" spans="1:2" x14ac:dyDescent="0.3">
      <c r="A259" s="129"/>
      <c r="B259" s="129"/>
    </row>
    <row r="260" spans="1:2" x14ac:dyDescent="0.3">
      <c r="A260" s="129"/>
      <c r="B260" s="129"/>
    </row>
    <row r="261" spans="1:2" x14ac:dyDescent="0.3">
      <c r="A261" s="129"/>
      <c r="B261" s="129"/>
    </row>
    <row r="262" spans="1:2" x14ac:dyDescent="0.3">
      <c r="A262" s="129"/>
      <c r="B262" s="129"/>
    </row>
    <row r="263" spans="1:2" x14ac:dyDescent="0.3">
      <c r="A263" s="129"/>
      <c r="B263" s="129"/>
    </row>
    <row r="264" spans="1:2" x14ac:dyDescent="0.3">
      <c r="A264" s="129"/>
      <c r="B264" s="129"/>
    </row>
    <row r="265" spans="1:2" x14ac:dyDescent="0.3">
      <c r="A265" s="129"/>
      <c r="B265" s="129"/>
    </row>
    <row r="266" spans="1:2" x14ac:dyDescent="0.3">
      <c r="A266" s="129"/>
      <c r="B266" s="129"/>
    </row>
    <row r="267" spans="1:2" x14ac:dyDescent="0.3">
      <c r="A267" s="129"/>
      <c r="B267" s="129"/>
    </row>
    <row r="268" spans="1:2" x14ac:dyDescent="0.3">
      <c r="A268" s="129"/>
      <c r="B268" s="129"/>
    </row>
    <row r="269" spans="1:2" x14ac:dyDescent="0.3">
      <c r="A269" s="129"/>
      <c r="B269" s="129"/>
    </row>
    <row r="270" spans="1:2" x14ac:dyDescent="0.3">
      <c r="A270" s="129"/>
      <c r="B270" s="129"/>
    </row>
    <row r="271" spans="1:2" x14ac:dyDescent="0.3">
      <c r="A271" s="129"/>
      <c r="B271" s="129"/>
    </row>
    <row r="272" spans="1:2" x14ac:dyDescent="0.3">
      <c r="A272" s="129"/>
      <c r="B272" s="129"/>
    </row>
    <row r="273" spans="1:2" x14ac:dyDescent="0.3">
      <c r="A273" s="129"/>
      <c r="B273" s="129"/>
    </row>
    <row r="274" spans="1:2" x14ac:dyDescent="0.3">
      <c r="A274" s="129"/>
      <c r="B274" s="129"/>
    </row>
    <row r="275" spans="1:2" x14ac:dyDescent="0.3">
      <c r="A275" s="129"/>
      <c r="B275" s="129"/>
    </row>
    <row r="276" spans="1:2" x14ac:dyDescent="0.3">
      <c r="A276" s="129"/>
      <c r="B276" s="129"/>
    </row>
    <row r="277" spans="1:2" x14ac:dyDescent="0.3">
      <c r="A277" s="129"/>
      <c r="B277" s="129"/>
    </row>
    <row r="278" spans="1:2" x14ac:dyDescent="0.3">
      <c r="A278" s="129"/>
      <c r="B278" s="129"/>
    </row>
    <row r="279" spans="1:2" x14ac:dyDescent="0.3">
      <c r="A279" s="129"/>
      <c r="B279" s="129"/>
    </row>
    <row r="280" spans="1:2" x14ac:dyDescent="0.3">
      <c r="A280" s="129"/>
      <c r="B280" s="129"/>
    </row>
    <row r="281" spans="1:2" x14ac:dyDescent="0.3">
      <c r="A281" s="129"/>
      <c r="B281" s="129"/>
    </row>
    <row r="282" spans="1:2" x14ac:dyDescent="0.3">
      <c r="A282" s="129"/>
      <c r="B282" s="129"/>
    </row>
    <row r="283" spans="1:2" x14ac:dyDescent="0.3">
      <c r="A283" s="129"/>
      <c r="B283" s="129"/>
    </row>
    <row r="284" spans="1:2" x14ac:dyDescent="0.3">
      <c r="A284" s="129"/>
      <c r="B284" s="129"/>
    </row>
    <row r="285" spans="1:2" x14ac:dyDescent="0.3">
      <c r="A285" s="129"/>
      <c r="B285" s="129"/>
    </row>
    <row r="286" spans="1:2" x14ac:dyDescent="0.3">
      <c r="A286" s="129"/>
      <c r="B286" s="129"/>
    </row>
    <row r="287" spans="1:2" x14ac:dyDescent="0.3">
      <c r="A287" s="129"/>
      <c r="B287" s="129"/>
    </row>
    <row r="288" spans="1:2" x14ac:dyDescent="0.3">
      <c r="A288" s="129"/>
      <c r="B288" s="129"/>
    </row>
    <row r="289" spans="1:2" x14ac:dyDescent="0.3">
      <c r="A289" s="129"/>
      <c r="B289" s="129"/>
    </row>
    <row r="290" spans="1:2" x14ac:dyDescent="0.3">
      <c r="A290" s="129"/>
      <c r="B290" s="129"/>
    </row>
    <row r="291" spans="1:2" x14ac:dyDescent="0.3">
      <c r="A291" s="129"/>
      <c r="B291" s="129"/>
    </row>
    <row r="292" spans="1:2" x14ac:dyDescent="0.3">
      <c r="A292" s="129"/>
      <c r="B292" s="129"/>
    </row>
    <row r="293" spans="1:2" x14ac:dyDescent="0.3">
      <c r="A293" s="129"/>
      <c r="B293" s="129"/>
    </row>
    <row r="294" spans="1:2" x14ac:dyDescent="0.3">
      <c r="A294" s="129"/>
      <c r="B294" s="129"/>
    </row>
    <row r="295" spans="1:2" x14ac:dyDescent="0.3">
      <c r="A295" s="129"/>
      <c r="B295" s="129"/>
    </row>
    <row r="296" spans="1:2" x14ac:dyDescent="0.3">
      <c r="A296" s="129"/>
      <c r="B296" s="129"/>
    </row>
    <row r="297" spans="1:2" x14ac:dyDescent="0.3">
      <c r="A297" s="129"/>
      <c r="B297" s="129"/>
    </row>
    <row r="298" spans="1:2" x14ac:dyDescent="0.3">
      <c r="A298" s="129"/>
      <c r="B298" s="129"/>
    </row>
    <row r="299" spans="1:2" x14ac:dyDescent="0.3">
      <c r="A299" s="129"/>
      <c r="B299" s="129"/>
    </row>
    <row r="300" spans="1:2" x14ac:dyDescent="0.3">
      <c r="A300" s="129"/>
      <c r="B300" s="129"/>
    </row>
    <row r="301" spans="1:2" x14ac:dyDescent="0.3">
      <c r="A301" s="129"/>
      <c r="B301" s="129"/>
    </row>
    <row r="302" spans="1:2" x14ac:dyDescent="0.3">
      <c r="A302" s="129"/>
      <c r="B302" s="129"/>
    </row>
    <row r="303" spans="1:2" x14ac:dyDescent="0.3">
      <c r="A303" s="129"/>
      <c r="B303" s="129"/>
    </row>
    <row r="304" spans="1:2" x14ac:dyDescent="0.3">
      <c r="A304" s="129"/>
      <c r="B304" s="129"/>
    </row>
    <row r="305" spans="1:2" x14ac:dyDescent="0.3">
      <c r="A305" s="129"/>
      <c r="B305" s="129"/>
    </row>
    <row r="306" spans="1:2" x14ac:dyDescent="0.3">
      <c r="A306" s="129"/>
      <c r="B306" s="129"/>
    </row>
    <row r="307" spans="1:2" x14ac:dyDescent="0.3">
      <c r="A307" s="129"/>
      <c r="B307" s="129"/>
    </row>
    <row r="308" spans="1:2" x14ac:dyDescent="0.3">
      <c r="A308" s="129"/>
      <c r="B308" s="129"/>
    </row>
  </sheetData>
  <sheetProtection algorithmName="SHA-512" hashValue="5JQZ522fdf2YBRgVHExhl26rRqUIyKWJRoiYTSOcxKslt/k8smctOhFnjFcXbCA77MoUTJTsnJdTOQykGECJUw==" saltValue="69tsmLyaiYEdPxH/W/xP3Q==" spinCount="100000" sheet="1" objects="1" scenarios="1"/>
  <protectedRanges>
    <protectedRange algorithmName="SHA-512" hashValue="aWn7S00Ya7jjjWWa/GC0dOh3Qj/apOcFyN+PPkzO2sGhF6S0CIkepcj+i2+5KisF05sSLhTmL4+FRIzF66PyBw==" saltValue="cwlSnCs1I0FIGVbh07X/Tg==" spinCount="100000" sqref="A1:XFD1048576" name="Plage1"/>
  </protectedRanges>
  <mergeCells count="2">
    <mergeCell ref="B5:I5"/>
    <mergeCell ref="A5:A6"/>
  </mergeCells>
  <phoneticPr fontId="3" type="noConversion"/>
  <hyperlinks>
    <hyperlink ref="A48" location="ta11_10_note5" display="ta11_10_note5"/>
  </hyperlinks>
  <pageMargins left="0.78740157499999996" right="0.78740157499999996" top="0.984251969" bottom="0.984251969" header="0.4921259845" footer="0.4921259845"/>
  <pageSetup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XFD104"/>
  <sheetViews>
    <sheetView topLeftCell="A13" workbookViewId="0">
      <selection activeCell="D17" sqref="D17:E17"/>
    </sheetView>
  </sheetViews>
  <sheetFormatPr baseColWidth="10" defaultColWidth="12" defaultRowHeight="15.5" x14ac:dyDescent="0.35"/>
  <cols>
    <col min="1" max="1" width="49.796875" style="25" customWidth="1"/>
    <col min="2" max="5" width="17.296875" style="25" customWidth="1"/>
    <col min="6" max="6" width="13.296875" style="25" customWidth="1"/>
    <col min="7" max="7" width="12" style="25"/>
    <col min="8" max="8" width="45.69921875" style="25" customWidth="1"/>
    <col min="9" max="12" width="14" style="25" customWidth="1"/>
    <col min="13" max="21" width="12" style="25"/>
    <col min="22" max="16384" width="12" style="672"/>
  </cols>
  <sheetData>
    <row r="1" spans="1:21" s="671" customFormat="1" ht="29.15" customHeight="1" x14ac:dyDescent="0.35">
      <c r="A1" s="42" t="s">
        <v>437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</row>
    <row r="2" spans="1:21" x14ac:dyDescent="0.35">
      <c r="A2" s="24"/>
      <c r="B2" s="24"/>
      <c r="C2" s="24"/>
      <c r="D2" s="24"/>
      <c r="E2" s="24"/>
      <c r="F2" s="24"/>
      <c r="G2" s="24"/>
      <c r="H2" s="804"/>
      <c r="I2" s="804"/>
      <c r="J2" s="804"/>
      <c r="K2" s="804"/>
      <c r="M2" s="26"/>
      <c r="N2" s="26"/>
      <c r="O2" s="26"/>
      <c r="P2" s="26"/>
    </row>
    <row r="3" spans="1:21" ht="3" customHeight="1" x14ac:dyDescent="0.35">
      <c r="A3" s="24"/>
      <c r="B3" s="24"/>
      <c r="C3" s="24"/>
      <c r="D3" s="24"/>
      <c r="E3" s="24"/>
      <c r="F3" s="24"/>
      <c r="G3" s="24"/>
      <c r="H3" s="24"/>
    </row>
    <row r="4" spans="1:21" s="393" customFormat="1" ht="26.15" customHeight="1" x14ac:dyDescent="0.3">
      <c r="A4" s="800" t="s">
        <v>438</v>
      </c>
      <c r="B4" s="800"/>
      <c r="C4" s="800"/>
      <c r="D4" s="800"/>
      <c r="E4" s="800"/>
      <c r="F4" s="801"/>
      <c r="G4" s="26"/>
      <c r="H4" s="800" t="s">
        <v>429</v>
      </c>
      <c r="I4" s="800"/>
      <c r="J4" s="800"/>
      <c r="K4" s="800"/>
      <c r="L4" s="800"/>
      <c r="M4" s="26"/>
      <c r="N4" s="26"/>
      <c r="O4" s="26"/>
      <c r="P4" s="26"/>
      <c r="Q4" s="26"/>
      <c r="R4" s="26"/>
      <c r="S4" s="26"/>
      <c r="T4" s="26"/>
      <c r="U4" s="26"/>
    </row>
    <row r="5" spans="1:21" s="393" customFormat="1" ht="58" customHeight="1" x14ac:dyDescent="0.3">
      <c r="A5" s="652" t="s">
        <v>764</v>
      </c>
      <c r="B5" s="651">
        <v>1990</v>
      </c>
      <c r="C5" s="651">
        <v>2006</v>
      </c>
      <c r="D5" s="651">
        <v>2010</v>
      </c>
      <c r="E5" s="651">
        <v>2017</v>
      </c>
      <c r="F5" s="651" t="s">
        <v>751</v>
      </c>
      <c r="G5" s="26"/>
      <c r="H5" s="652" t="s">
        <v>764</v>
      </c>
      <c r="I5" s="651">
        <v>1990</v>
      </c>
      <c r="J5" s="651">
        <v>2006</v>
      </c>
      <c r="K5" s="651">
        <v>2010</v>
      </c>
      <c r="L5" s="651">
        <v>2017</v>
      </c>
      <c r="M5" s="26"/>
      <c r="N5" s="26"/>
      <c r="O5" s="26"/>
      <c r="P5" s="26"/>
      <c r="Q5" s="26"/>
      <c r="R5" s="26"/>
      <c r="S5" s="26"/>
      <c r="T5" s="26"/>
      <c r="U5" s="26"/>
    </row>
    <row r="6" spans="1:21" s="393" customFormat="1" ht="27" customHeight="1" x14ac:dyDescent="0.3">
      <c r="A6" s="652" t="s">
        <v>435</v>
      </c>
      <c r="B6" s="29"/>
      <c r="C6" s="27">
        <v>529850</v>
      </c>
      <c r="D6" s="27">
        <v>552115</v>
      </c>
      <c r="E6" s="27">
        <f>INTRO!B20</f>
        <v>574321</v>
      </c>
      <c r="F6" s="54">
        <f>(E6-D6)/D6</f>
        <v>4.0219881727538646E-2</v>
      </c>
      <c r="G6" s="26"/>
      <c r="H6" s="652" t="s">
        <v>435</v>
      </c>
      <c r="I6" s="27">
        <v>497028</v>
      </c>
      <c r="J6" s="27">
        <v>529850</v>
      </c>
      <c r="K6" s="27">
        <v>552115</v>
      </c>
      <c r="L6" s="27">
        <f>E6</f>
        <v>574321</v>
      </c>
      <c r="M6" s="26"/>
      <c r="N6" s="26"/>
      <c r="O6" s="26"/>
      <c r="P6" s="26"/>
      <c r="Q6" s="26"/>
      <c r="R6" s="26"/>
      <c r="S6" s="26"/>
      <c r="T6" s="26"/>
      <c r="U6" s="26"/>
    </row>
    <row r="7" spans="1:21" s="393" customFormat="1" ht="21" customHeight="1" x14ac:dyDescent="0.3">
      <c r="A7" s="802" t="s">
        <v>767</v>
      </c>
      <c r="B7" s="802"/>
      <c r="C7" s="802"/>
      <c r="D7" s="802"/>
      <c r="E7" s="802"/>
      <c r="F7" s="803"/>
      <c r="G7" s="26"/>
      <c r="H7" s="802" t="s">
        <v>767</v>
      </c>
      <c r="I7" s="802"/>
      <c r="J7" s="802"/>
      <c r="K7" s="802"/>
      <c r="L7" s="802"/>
      <c r="M7" s="26"/>
      <c r="N7" s="26"/>
      <c r="O7" s="26"/>
      <c r="P7" s="26"/>
      <c r="Q7" s="26"/>
      <c r="R7" s="26"/>
      <c r="S7" s="26"/>
      <c r="T7" s="26"/>
      <c r="U7" s="26"/>
    </row>
    <row r="8" spans="1:21" s="393" customFormat="1" ht="18" customHeight="1" x14ac:dyDescent="0.3">
      <c r="A8" s="652" t="s">
        <v>96</v>
      </c>
      <c r="B8" s="27">
        <f>(73322+20711+52405+17812)/1000</f>
        <v>164.25</v>
      </c>
      <c r="C8" s="27">
        <f>(86346+23622+2068+21392+10305)/1000</f>
        <v>143.733</v>
      </c>
      <c r="D8" s="27">
        <f>(80902+31256+5757+17099+10490)/1000</f>
        <v>145.50399999999999</v>
      </c>
      <c r="E8" s="27">
        <f>(84258+14390+16356+11525+7315)/1000</f>
        <v>133.84399999999999</v>
      </c>
      <c r="F8" s="54">
        <f>(E8-D8)/D8</f>
        <v>-8.0135254013635346E-2</v>
      </c>
      <c r="G8" s="26"/>
      <c r="H8" s="686" t="s">
        <v>96</v>
      </c>
      <c r="I8" s="28">
        <f>B8/$B$12</f>
        <v>0.70592634297920254</v>
      </c>
      <c r="J8" s="28">
        <f>C8/$C$12</f>
        <v>0.65201593148373282</v>
      </c>
      <c r="K8" s="28">
        <f>D8/$D$12</f>
        <v>0.62813898973852011</v>
      </c>
      <c r="L8" s="28">
        <f>E8/$E$12</f>
        <v>0.5993480090992136</v>
      </c>
      <c r="M8" s="26"/>
      <c r="N8" s="26"/>
      <c r="O8" s="26"/>
      <c r="P8" s="26"/>
      <c r="Q8" s="26"/>
      <c r="R8" s="26"/>
      <c r="S8" s="26"/>
      <c r="T8" s="26"/>
      <c r="U8" s="26"/>
    </row>
    <row r="9" spans="1:21" s="393" customFormat="1" ht="18" customHeight="1" x14ac:dyDescent="0.3">
      <c r="A9" s="652" t="s">
        <v>145</v>
      </c>
      <c r="B9" s="27">
        <f>10813/1000</f>
        <v>10.813000000000001</v>
      </c>
      <c r="C9" s="27">
        <f>13900/1000</f>
        <v>13.9</v>
      </c>
      <c r="D9" s="27">
        <f>15036/1000</f>
        <v>15.036</v>
      </c>
      <c r="E9" s="27">
        <f>16073/1000</f>
        <v>16.073</v>
      </c>
      <c r="F9" s="54">
        <f>(E9-D9)/D9</f>
        <v>6.8967810587922382E-2</v>
      </c>
      <c r="G9" s="26"/>
      <c r="H9" s="652" t="s">
        <v>145</v>
      </c>
      <c r="I9" s="28">
        <f>B9/$B$12</f>
        <v>4.647294701147104E-2</v>
      </c>
      <c r="J9" s="28">
        <f>C9/$C$12</f>
        <v>6.3054562610005263E-2</v>
      </c>
      <c r="K9" s="28">
        <f>D9/$D$12</f>
        <v>6.4910228239143858E-2</v>
      </c>
      <c r="L9" s="28">
        <f>E9/$E$12</f>
        <v>7.1974242777051348E-2</v>
      </c>
      <c r="M9" s="26"/>
      <c r="N9" s="26"/>
      <c r="O9" s="26"/>
      <c r="P9" s="26"/>
      <c r="Q9" s="26"/>
      <c r="R9" s="26"/>
      <c r="S9" s="26"/>
      <c r="T9" s="26"/>
      <c r="U9" s="26"/>
    </row>
    <row r="10" spans="1:21" s="393" customFormat="1" ht="18" customHeight="1" x14ac:dyDescent="0.3">
      <c r="A10" s="673" t="s">
        <v>430</v>
      </c>
      <c r="B10" s="27">
        <f>16359/1000</f>
        <v>16.359000000000002</v>
      </c>
      <c r="C10" s="27">
        <f>28038/1000</f>
        <v>28.038</v>
      </c>
      <c r="D10" s="27">
        <f>29147/1000</f>
        <v>29.146999999999998</v>
      </c>
      <c r="E10" s="27">
        <f>31003/1000</f>
        <v>31.003</v>
      </c>
      <c r="F10" s="54">
        <f t="shared" ref="F10:F22" si="0">(E10-D10)/D10</f>
        <v>6.3677222355645574E-2</v>
      </c>
      <c r="G10" s="26"/>
      <c r="H10" s="673" t="s">
        <v>146</v>
      </c>
      <c r="I10" s="28">
        <f>B10/$B$12</f>
        <v>7.0308974397545063E-2</v>
      </c>
      <c r="J10" s="28">
        <f>C10/$C$12</f>
        <v>0.1271887644934768</v>
      </c>
      <c r="K10" s="28">
        <f>D10/$D$12</f>
        <v>0.12582724278307569</v>
      </c>
      <c r="L10" s="28">
        <f>E10/$E$12</f>
        <v>0.13883017786455065</v>
      </c>
      <c r="M10" s="26"/>
      <c r="N10" s="26"/>
      <c r="O10" s="26"/>
      <c r="P10" s="26"/>
      <c r="Q10" s="26"/>
      <c r="R10" s="26"/>
      <c r="S10" s="26"/>
      <c r="T10" s="26"/>
      <c r="U10" s="26"/>
    </row>
    <row r="11" spans="1:21" s="393" customFormat="1" ht="18" customHeight="1" x14ac:dyDescent="0.3">
      <c r="A11" s="652" t="s">
        <v>147</v>
      </c>
      <c r="B11" s="27">
        <f>41251/1000</f>
        <v>41.250999999999998</v>
      </c>
      <c r="C11" s="27">
        <f>34773/1000</f>
        <v>34.773000000000003</v>
      </c>
      <c r="D11" s="27">
        <f>41956/1000</f>
        <v>41.956000000000003</v>
      </c>
      <c r="E11" s="27">
        <f>42396/1000</f>
        <v>42.396000000000001</v>
      </c>
      <c r="F11" s="54">
        <f t="shared" si="0"/>
        <v>1.0487177042616019E-2</v>
      </c>
      <c r="G11" s="26"/>
      <c r="H11" s="652" t="s">
        <v>147</v>
      </c>
      <c r="I11" s="28">
        <f>B11/$B$12</f>
        <v>0.17729173561178133</v>
      </c>
      <c r="J11" s="28">
        <f>C11/$C$12</f>
        <v>0.1577407414127851</v>
      </c>
      <c r="K11" s="28">
        <f>D11/$D$12</f>
        <v>0.18112353923926044</v>
      </c>
      <c r="L11" s="28">
        <f>E11/$E$12</f>
        <v>0.18984757025918428</v>
      </c>
      <c r="M11" s="26"/>
      <c r="N11" s="26"/>
      <c r="O11" s="26"/>
      <c r="P11" s="26"/>
      <c r="Q11" s="26"/>
      <c r="R11" s="26"/>
      <c r="S11" s="26"/>
      <c r="T11" s="26"/>
      <c r="U11" s="26"/>
    </row>
    <row r="12" spans="1:21" s="393" customFormat="1" ht="20.149999999999999" customHeight="1" x14ac:dyDescent="0.3">
      <c r="A12" s="674" t="s">
        <v>399</v>
      </c>
      <c r="B12" s="675">
        <f>SUM(B8:B11)</f>
        <v>232.673</v>
      </c>
      <c r="C12" s="675">
        <f>SUM(C8:C11)</f>
        <v>220.44400000000002</v>
      </c>
      <c r="D12" s="675">
        <f>SUM(D8:D11)</f>
        <v>231.64299999999997</v>
      </c>
      <c r="E12" s="675">
        <f>SUM(E8:E11)</f>
        <v>223.31600000000003</v>
      </c>
      <c r="F12" s="676">
        <f t="shared" si="0"/>
        <v>-3.5947557232465226E-2</v>
      </c>
      <c r="G12" s="26"/>
      <c r="H12" s="651"/>
      <c r="I12" s="30">
        <f>SUM(I8:I11)</f>
        <v>1</v>
      </c>
      <c r="J12" s="30">
        <f>SUM(J8:J11)</f>
        <v>1</v>
      </c>
      <c r="K12" s="30">
        <f>SUM(K8:K11)</f>
        <v>1</v>
      </c>
      <c r="L12" s="30">
        <f>SUM(L8:L11)</f>
        <v>0.99999999999999989</v>
      </c>
      <c r="M12" s="26"/>
      <c r="N12" s="26"/>
      <c r="O12" s="26"/>
      <c r="P12" s="26"/>
      <c r="Q12" s="26"/>
      <c r="R12" s="26"/>
      <c r="S12" s="26"/>
      <c r="T12" s="26"/>
      <c r="U12" s="26"/>
    </row>
    <row r="13" spans="1:21" s="393" customFormat="1" ht="23.15" customHeight="1" x14ac:dyDescent="0.3">
      <c r="A13" s="802" t="s">
        <v>439</v>
      </c>
      <c r="B13" s="802"/>
      <c r="C13" s="802"/>
      <c r="D13" s="802"/>
      <c r="E13" s="802"/>
      <c r="F13" s="803"/>
      <c r="G13" s="26"/>
      <c r="H13" s="802" t="s">
        <v>439</v>
      </c>
      <c r="I13" s="802"/>
      <c r="J13" s="802"/>
      <c r="K13" s="802"/>
      <c r="L13" s="802"/>
      <c r="M13" s="26"/>
      <c r="N13" s="26"/>
      <c r="O13" s="26"/>
      <c r="P13" s="26"/>
      <c r="Q13" s="26"/>
      <c r="R13" s="26"/>
      <c r="S13" s="26"/>
      <c r="T13" s="26"/>
      <c r="U13" s="26"/>
    </row>
    <row r="14" spans="1:21" s="393" customFormat="1" ht="18" customHeight="1" x14ac:dyDescent="0.3">
      <c r="A14" s="652" t="s">
        <v>23</v>
      </c>
      <c r="B14" s="27">
        <v>842</v>
      </c>
      <c r="C14" s="27">
        <v>714</v>
      </c>
      <c r="D14" s="27">
        <v>393.63968332123545</v>
      </c>
      <c r="E14" s="27">
        <f>'GES COLLECTIFS'!C4/1000</f>
        <v>309.58928316677861</v>
      </c>
      <c r="F14" s="54">
        <f t="shared" si="0"/>
        <v>-0.21352115580752123</v>
      </c>
      <c r="G14" s="33"/>
      <c r="H14" s="686" t="s">
        <v>23</v>
      </c>
      <c r="I14" s="28">
        <f t="shared" ref="I14:I22" si="1">B14/$B$23</f>
        <v>0.24467511967867936</v>
      </c>
      <c r="J14" s="28">
        <f t="shared" ref="J14:J22" si="2">C14/$C$23</f>
        <v>0.17779774336315141</v>
      </c>
      <c r="K14" s="28">
        <f t="shared" ref="K14:K22" si="3">D14/$D$23</f>
        <v>0.10003894785497076</v>
      </c>
      <c r="L14" s="28">
        <f>E14/$E$23</f>
        <v>7.9037077025242319E-2</v>
      </c>
      <c r="M14" s="26"/>
      <c r="N14" s="26"/>
      <c r="O14" s="26"/>
      <c r="P14" s="26"/>
      <c r="Q14" s="26"/>
      <c r="R14" s="26"/>
      <c r="S14" s="26"/>
      <c r="T14" s="26"/>
      <c r="U14" s="26"/>
    </row>
    <row r="15" spans="1:21" s="393" customFormat="1" ht="18" customHeight="1" x14ac:dyDescent="0.3">
      <c r="A15" s="652" t="s">
        <v>765</v>
      </c>
      <c r="B15" s="27">
        <v>407</v>
      </c>
      <c r="C15" s="27">
        <v>674</v>
      </c>
      <c r="D15" s="27">
        <v>569.44688882487162</v>
      </c>
      <c r="E15" s="27">
        <f>'GES COLLECTIFS'!C5/1000</f>
        <v>409.12081680817323</v>
      </c>
      <c r="F15" s="54">
        <f t="shared" si="0"/>
        <v>-0.28154701546890926</v>
      </c>
      <c r="G15" s="33"/>
      <c r="H15" s="686" t="s">
        <v>765</v>
      </c>
      <c r="I15" s="28">
        <f t="shared" si="1"/>
        <v>0.11826932744563243</v>
      </c>
      <c r="J15" s="28">
        <f t="shared" si="2"/>
        <v>0.16783708547165832</v>
      </c>
      <c r="K15" s="28">
        <f t="shared" si="3"/>
        <v>0.14471830466045268</v>
      </c>
      <c r="L15" s="28">
        <f t="shared" ref="L15:L22" si="4">E15/$E$23</f>
        <v>0.10444713453882089</v>
      </c>
      <c r="M15" s="26"/>
      <c r="N15" s="26"/>
      <c r="O15" s="26"/>
      <c r="P15" s="26"/>
      <c r="Q15" s="26"/>
      <c r="R15" s="26"/>
      <c r="S15" s="26"/>
      <c r="T15" s="26"/>
      <c r="U15" s="26"/>
    </row>
    <row r="16" spans="1:21" s="393" customFormat="1" ht="18" customHeight="1" x14ac:dyDescent="0.3">
      <c r="A16" s="652" t="s">
        <v>26</v>
      </c>
      <c r="B16" s="27">
        <v>547</v>
      </c>
      <c r="C16" s="27">
        <v>601</v>
      </c>
      <c r="D16" s="27">
        <v>61.628</v>
      </c>
      <c r="E16" s="27">
        <f>'GES COLLECTIFS'!C6/1000</f>
        <v>70.279256809750009</v>
      </c>
      <c r="F16" s="54">
        <f t="shared" si="0"/>
        <v>0.14037867219040062</v>
      </c>
      <c r="G16" s="33"/>
      <c r="H16" s="686" t="s">
        <v>26</v>
      </c>
      <c r="I16" s="28">
        <f t="shared" si="1"/>
        <v>0.15895165138270501</v>
      </c>
      <c r="J16" s="28">
        <f t="shared" si="2"/>
        <v>0.14965888481968345</v>
      </c>
      <c r="K16" s="28">
        <f t="shared" si="3"/>
        <v>1.5662039524035835E-2</v>
      </c>
      <c r="L16" s="28">
        <f t="shared" si="4"/>
        <v>1.7942052053386639E-2</v>
      </c>
      <c r="M16" s="26"/>
      <c r="N16" s="26"/>
      <c r="O16" s="26"/>
      <c r="P16" s="26"/>
      <c r="Q16" s="26"/>
      <c r="R16" s="26"/>
      <c r="S16" s="26"/>
      <c r="T16" s="26"/>
      <c r="U16" s="26"/>
    </row>
    <row r="17" spans="1:16384" s="393" customFormat="1" ht="18" customHeight="1" x14ac:dyDescent="0.3">
      <c r="A17" s="652" t="s">
        <v>60</v>
      </c>
      <c r="B17" s="27">
        <v>1273</v>
      </c>
      <c r="C17" s="27">
        <v>1595</v>
      </c>
      <c r="D17" s="27">
        <v>1776.5008927513534</v>
      </c>
      <c r="E17" s="27">
        <f>'GES COLLECTIFS'!C12/1000</f>
        <v>1972.1695172916004</v>
      </c>
      <c r="F17" s="54">
        <f t="shared" si="0"/>
        <v>0.11014271106681264</v>
      </c>
      <c r="G17" s="33"/>
      <c r="H17" s="686" t="s">
        <v>60</v>
      </c>
      <c r="I17" s="28">
        <f t="shared" si="1"/>
        <v>0.36991855979923854</v>
      </c>
      <c r="J17" s="28">
        <f t="shared" si="2"/>
        <v>0.39718123342328637</v>
      </c>
      <c r="K17" s="28">
        <f t="shared" si="3"/>
        <v>0.45147704284994872</v>
      </c>
      <c r="L17" s="28">
        <f t="shared" si="4"/>
        <v>0.50348808088760666</v>
      </c>
      <c r="M17" s="26"/>
      <c r="N17" s="26"/>
      <c r="O17" s="26"/>
      <c r="P17" s="26"/>
      <c r="Q17" s="26"/>
      <c r="R17" s="26"/>
      <c r="S17" s="26"/>
      <c r="T17" s="26"/>
      <c r="U17" s="26"/>
    </row>
    <row r="18" spans="1:16384" s="393" customFormat="1" ht="18" customHeight="1" x14ac:dyDescent="0.3">
      <c r="A18" s="652" t="s">
        <v>148</v>
      </c>
      <c r="B18" s="27">
        <v>347</v>
      </c>
      <c r="C18" s="27">
        <v>393</v>
      </c>
      <c r="D18" s="27">
        <v>997.19025640954999</v>
      </c>
      <c r="E18" s="27">
        <f>'GES COLLECTIFS'!C17/1000</f>
        <v>899.92294696046304</v>
      </c>
      <c r="F18" s="54">
        <f t="shared" si="0"/>
        <v>-9.7541375704275721E-2</v>
      </c>
      <c r="G18" s="33"/>
      <c r="H18" s="686" t="s">
        <v>148</v>
      </c>
      <c r="I18" s="28">
        <f t="shared" si="1"/>
        <v>0.1008340457583156</v>
      </c>
      <c r="J18" s="28">
        <f t="shared" si="2"/>
        <v>9.7863463783919469E-2</v>
      </c>
      <c r="K18" s="28">
        <f t="shared" si="3"/>
        <v>0.25342430727704612</v>
      </c>
      <c r="L18" s="28">
        <f t="shared" si="4"/>
        <v>0.2297472268682513</v>
      </c>
      <c r="M18" s="26"/>
      <c r="N18" s="26"/>
      <c r="O18" s="26"/>
      <c r="P18" s="26"/>
      <c r="Q18" s="26"/>
      <c r="R18" s="26"/>
      <c r="S18" s="26"/>
      <c r="T18" s="26"/>
      <c r="U18" s="26"/>
    </row>
    <row r="19" spans="1:16384" s="393" customFormat="1" ht="18" customHeight="1" x14ac:dyDescent="0.3">
      <c r="A19" s="652" t="s">
        <v>96</v>
      </c>
      <c r="B19" s="27">
        <v>5.67</v>
      </c>
      <c r="C19" s="27">
        <v>18.879000000000001</v>
      </c>
      <c r="D19" s="27">
        <v>12.805337784033483</v>
      </c>
      <c r="E19" s="27">
        <f>'GES COLLECTIFS'!C18/1000</f>
        <v>15.244449742897006</v>
      </c>
      <c r="F19" s="54">
        <f>(E19-D19)/D19</f>
        <v>0.1904761904761906</v>
      </c>
      <c r="G19" s="33"/>
      <c r="H19" s="686" t="s">
        <v>96</v>
      </c>
      <c r="I19" s="31">
        <f t="shared" si="1"/>
        <v>1.6476341194514394E-3</v>
      </c>
      <c r="J19" s="31">
        <f t="shared" si="2"/>
        <v>4.7011815083374446E-3</v>
      </c>
      <c r="K19" s="31">
        <f t="shared" si="3"/>
        <v>3.2543276837178206E-3</v>
      </c>
      <c r="L19" s="31">
        <f t="shared" si="4"/>
        <v>3.8918554809525105E-3</v>
      </c>
      <c r="M19" s="26"/>
      <c r="N19" s="26"/>
      <c r="O19" s="26"/>
      <c r="P19" s="26"/>
      <c r="Q19" s="26"/>
      <c r="R19" s="26"/>
      <c r="S19" s="26"/>
      <c r="T19" s="26"/>
      <c r="U19" s="26"/>
    </row>
    <row r="20" spans="1:16384" s="393" customFormat="1" ht="18" customHeight="1" x14ac:dyDescent="0.3">
      <c r="A20" s="652" t="s">
        <v>149</v>
      </c>
      <c r="B20" s="27">
        <v>15</v>
      </c>
      <c r="C20" s="27">
        <v>16</v>
      </c>
      <c r="D20" s="27">
        <v>15.271203943141352</v>
      </c>
      <c r="E20" s="27">
        <f>'GES COLLECTIFS'!C22/1000</f>
        <v>15.287552805437802</v>
      </c>
      <c r="F20" s="54">
        <f t="shared" si="0"/>
        <v>1.0705680021903382E-3</v>
      </c>
      <c r="G20" s="26"/>
      <c r="H20" s="686" t="s">
        <v>149</v>
      </c>
      <c r="I20" s="31">
        <f t="shared" si="1"/>
        <v>4.3588204218292046E-3</v>
      </c>
      <c r="J20" s="31">
        <f t="shared" si="2"/>
        <v>3.98426315659723E-3</v>
      </c>
      <c r="K20" s="31">
        <f t="shared" si="3"/>
        <v>3.8809988923393865E-3</v>
      </c>
      <c r="L20" s="31">
        <f t="shared" si="4"/>
        <v>3.9028595442689579E-3</v>
      </c>
      <c r="M20" s="26"/>
      <c r="N20" s="26"/>
      <c r="O20" s="26"/>
      <c r="P20" s="26"/>
      <c r="Q20" s="26"/>
      <c r="R20" s="26"/>
      <c r="S20" s="26"/>
      <c r="T20" s="26"/>
      <c r="U20" s="26"/>
    </row>
    <row r="21" spans="1:16384" s="393" customFormat="1" ht="18" customHeight="1" x14ac:dyDescent="0.3">
      <c r="A21" s="652" t="s">
        <v>124</v>
      </c>
      <c r="B21" s="32">
        <v>1.6279999999999999</v>
      </c>
      <c r="C21" s="32">
        <v>0.92</v>
      </c>
      <c r="D21" s="32">
        <v>0.54846449999999991</v>
      </c>
      <c r="E21" s="32">
        <f>'GES COLLECTIFS'!C23/1000</f>
        <v>0.86748353999999972</v>
      </c>
      <c r="F21" s="54">
        <f t="shared" si="0"/>
        <v>0.58165850296600763</v>
      </c>
      <c r="G21" s="33"/>
      <c r="H21" s="686" t="s">
        <v>124</v>
      </c>
      <c r="I21" s="31">
        <f t="shared" si="1"/>
        <v>4.7307730978252968E-4</v>
      </c>
      <c r="J21" s="31">
        <f t="shared" si="2"/>
        <v>2.2909513150434074E-4</v>
      </c>
      <c r="K21" s="31">
        <f t="shared" si="3"/>
        <v>1.3938587454615677E-4</v>
      </c>
      <c r="L21" s="31">
        <f t="shared" si="4"/>
        <v>2.2146555807028417E-4</v>
      </c>
      <c r="M21" s="26"/>
      <c r="N21" s="26"/>
      <c r="O21" s="26"/>
      <c r="P21" s="26"/>
      <c r="Q21" s="26"/>
      <c r="R21" s="26"/>
      <c r="S21" s="26"/>
      <c r="T21" s="26"/>
      <c r="U21" s="26"/>
    </row>
    <row r="22" spans="1:16384" s="393" customFormat="1" ht="20.149999999999999" customHeight="1" x14ac:dyDescent="0.3">
      <c r="A22" s="652" t="s">
        <v>766</v>
      </c>
      <c r="B22" s="32">
        <v>3</v>
      </c>
      <c r="C22" s="32">
        <v>3</v>
      </c>
      <c r="D22" s="27">
        <f>4.14744463238432+103.686115809608</f>
        <v>107.83356044199232</v>
      </c>
      <c r="E22" s="27">
        <f>'GES COLLECTIFS'!C27/1000</f>
        <v>224.53200888991515</v>
      </c>
      <c r="F22" s="54">
        <f t="shared" si="0"/>
        <v>1.0822089892014579</v>
      </c>
      <c r="G22" s="33"/>
      <c r="H22" s="686" t="s">
        <v>766</v>
      </c>
      <c r="I22" s="31">
        <f t="shared" si="1"/>
        <v>8.7176408436584094E-4</v>
      </c>
      <c r="J22" s="31">
        <f t="shared" si="2"/>
        <v>7.4704934186198063E-4</v>
      </c>
      <c r="K22" s="31">
        <f t="shared" si="3"/>
        <v>2.7404645382942665E-2</v>
      </c>
      <c r="L22" s="31">
        <f t="shared" si="4"/>
        <v>5.7322248043400428E-2</v>
      </c>
      <c r="M22" s="26"/>
      <c r="N22" s="26"/>
      <c r="O22" s="26"/>
      <c r="P22" s="26"/>
      <c r="Q22" s="26"/>
      <c r="R22" s="26"/>
      <c r="S22" s="26"/>
      <c r="T22" s="26"/>
      <c r="U22" s="26"/>
    </row>
    <row r="23" spans="1:16384" s="393" customFormat="1" ht="20.149999999999999" customHeight="1" x14ac:dyDescent="0.3">
      <c r="A23" s="674" t="s">
        <v>400</v>
      </c>
      <c r="B23" s="675">
        <f>SUM(B14:B22)</f>
        <v>3441.2980000000002</v>
      </c>
      <c r="C23" s="675">
        <f>SUM(C14:C22)</f>
        <v>4015.799</v>
      </c>
      <c r="D23" s="675">
        <f>SUM(D14:D22)</f>
        <v>3934.8642879761769</v>
      </c>
      <c r="E23" s="675">
        <f>SUM(E14:E22)</f>
        <v>3917.0133160150153</v>
      </c>
      <c r="F23" s="676">
        <f>(E23-D23)/D23</f>
        <v>-4.5366169338315063E-3</v>
      </c>
      <c r="G23" s="33"/>
      <c r="H23" s="651"/>
      <c r="I23" s="30">
        <f>SUM(I14:I22)</f>
        <v>1</v>
      </c>
      <c r="J23" s="30">
        <f>SUM(J14:J22)</f>
        <v>1</v>
      </c>
      <c r="K23" s="30">
        <f>SUM(K14:K22)</f>
        <v>1.0000000000000002</v>
      </c>
      <c r="L23" s="30">
        <f>SUM(L14:L22)</f>
        <v>1</v>
      </c>
      <c r="M23" s="26"/>
      <c r="N23" s="26"/>
      <c r="O23" s="26"/>
      <c r="P23" s="26"/>
      <c r="Q23" s="26"/>
      <c r="R23" s="26"/>
      <c r="S23" s="26"/>
      <c r="T23" s="26"/>
      <c r="U23" s="26"/>
    </row>
    <row r="24" spans="1:16384" s="393" customFormat="1" ht="20.149999999999999" customHeight="1" x14ac:dyDescent="0.3">
      <c r="A24" s="33"/>
      <c r="B24" s="33"/>
      <c r="C24" s="33"/>
      <c r="D24" s="33"/>
      <c r="E24" s="33"/>
      <c r="F24" s="33"/>
      <c r="G24" s="33"/>
      <c r="H24" s="649"/>
      <c r="I24" s="650"/>
      <c r="J24" s="650"/>
      <c r="K24" s="650"/>
      <c r="L24" s="508"/>
      <c r="M24" s="26"/>
      <c r="N24" s="26"/>
      <c r="O24" s="26"/>
      <c r="P24" s="26"/>
      <c r="Q24" s="26"/>
      <c r="R24" s="26"/>
      <c r="S24" s="26"/>
      <c r="T24" s="26"/>
      <c r="U24" s="26"/>
    </row>
    <row r="25" spans="1:16384" s="393" customFormat="1" ht="20.149999999999999" customHeight="1" x14ac:dyDescent="0.3">
      <c r="A25" s="40" t="s">
        <v>16</v>
      </c>
      <c r="B25" s="41">
        <f>SUM(B12,B23)</f>
        <v>3673.9710000000005</v>
      </c>
      <c r="C25" s="41">
        <f>SUM(C12,C23)</f>
        <v>4236.2430000000004</v>
      </c>
      <c r="D25" s="41">
        <f>SUM(D12,D23)</f>
        <v>4166.5072879761765</v>
      </c>
      <c r="E25" s="41">
        <f>SUM(E12,E23)</f>
        <v>4140.3293160150151</v>
      </c>
      <c r="F25" s="648">
        <f>(E25-D25)/D25</f>
        <v>-6.282953599218816E-3</v>
      </c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</row>
    <row r="27" spans="1:16384" x14ac:dyDescent="0.35">
      <c r="A27" s="25" t="s">
        <v>893</v>
      </c>
      <c r="I27" s="34"/>
      <c r="J27" s="34"/>
      <c r="K27" s="34"/>
    </row>
    <row r="28" spans="1:16384" x14ac:dyDescent="0.35">
      <c r="A28" s="25" t="s">
        <v>894</v>
      </c>
    </row>
    <row r="30" spans="1:16384" s="760" customFormat="1" ht="16" customHeight="1" x14ac:dyDescent="0.35">
      <c r="A30" s="791" t="s">
        <v>902</v>
      </c>
      <c r="B30" s="792"/>
      <c r="C30" s="792"/>
      <c r="D30" s="792"/>
      <c r="E30" s="792"/>
      <c r="F30" s="792"/>
      <c r="G30" s="792"/>
      <c r="H30" s="793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672"/>
      <c r="W30" s="672"/>
      <c r="X30" s="672"/>
      <c r="Y30" s="672"/>
      <c r="Z30" s="672"/>
      <c r="AA30" s="672"/>
      <c r="AB30" s="672"/>
      <c r="AC30" s="672"/>
      <c r="AD30" s="672"/>
      <c r="AE30" s="672"/>
      <c r="AF30" s="672"/>
      <c r="AG30" s="672"/>
      <c r="AH30" s="672"/>
      <c r="AI30" s="672"/>
      <c r="AJ30" s="672"/>
      <c r="AK30" s="672"/>
      <c r="AL30" s="672"/>
      <c r="AM30" s="672"/>
      <c r="AN30" s="672"/>
      <c r="AO30" s="672"/>
      <c r="AP30" s="672"/>
      <c r="AQ30" s="672"/>
      <c r="AR30" s="672"/>
      <c r="AS30" s="672"/>
      <c r="AT30" s="672"/>
      <c r="AU30" s="672"/>
      <c r="AV30" s="672"/>
      <c r="AW30" s="672"/>
      <c r="AX30" s="672"/>
      <c r="AY30" s="672"/>
      <c r="AZ30" s="672"/>
      <c r="BA30" s="672"/>
      <c r="BB30" s="672"/>
      <c r="BC30" s="672"/>
      <c r="BD30" s="672"/>
      <c r="BE30" s="672"/>
      <c r="BF30" s="672"/>
      <c r="BG30" s="672"/>
      <c r="BH30" s="672"/>
      <c r="BI30" s="672"/>
      <c r="BJ30" s="672"/>
      <c r="BK30" s="672"/>
      <c r="BL30" s="672"/>
      <c r="BM30" s="672"/>
      <c r="BN30" s="672"/>
      <c r="BO30" s="672"/>
      <c r="BP30" s="672"/>
      <c r="BQ30" s="672"/>
      <c r="BR30" s="672"/>
      <c r="BS30" s="672"/>
      <c r="BT30" s="672"/>
      <c r="BU30" s="672"/>
      <c r="BV30" s="672"/>
      <c r="BW30" s="672"/>
      <c r="BX30" s="672"/>
      <c r="BY30" s="672"/>
      <c r="BZ30" s="672"/>
      <c r="CA30" s="672"/>
      <c r="CB30" s="672"/>
      <c r="CC30" s="672"/>
      <c r="CD30" s="672"/>
      <c r="CE30" s="672"/>
      <c r="CF30" s="672"/>
      <c r="CG30" s="672"/>
      <c r="CH30" s="672"/>
      <c r="CI30" s="672"/>
      <c r="CJ30" s="672"/>
      <c r="CK30" s="672"/>
      <c r="CL30" s="672"/>
      <c r="CM30" s="672"/>
      <c r="CN30" s="672"/>
      <c r="CO30" s="672"/>
      <c r="CP30" s="672"/>
      <c r="CQ30" s="672"/>
      <c r="CR30" s="672"/>
      <c r="CS30" s="672"/>
      <c r="CT30" s="672"/>
      <c r="CU30" s="672"/>
      <c r="CV30" s="672"/>
      <c r="CW30" s="672"/>
      <c r="CX30" s="672"/>
      <c r="CY30" s="672"/>
      <c r="CZ30" s="672"/>
      <c r="DA30" s="672"/>
      <c r="DB30" s="672"/>
      <c r="DC30" s="672"/>
      <c r="DD30" s="672"/>
      <c r="DE30" s="672"/>
      <c r="DF30" s="672"/>
      <c r="DG30" s="672"/>
      <c r="DH30" s="672"/>
      <c r="DI30" s="672"/>
      <c r="DJ30" s="672"/>
      <c r="DK30" s="672"/>
      <c r="DL30" s="672"/>
      <c r="DM30" s="672"/>
      <c r="DN30" s="672"/>
      <c r="DO30" s="672"/>
      <c r="DP30" s="672"/>
      <c r="DQ30" s="672"/>
      <c r="DR30" s="672"/>
      <c r="DS30" s="672"/>
      <c r="DT30" s="672"/>
      <c r="DU30" s="672"/>
      <c r="DV30" s="672"/>
      <c r="DW30" s="672"/>
      <c r="DX30" s="672"/>
      <c r="DY30" s="672"/>
      <c r="DZ30" s="672"/>
      <c r="EA30" s="672"/>
      <c r="EB30" s="672"/>
      <c r="EC30" s="672"/>
      <c r="ED30" s="672"/>
      <c r="EE30" s="672"/>
      <c r="EF30" s="672"/>
      <c r="EG30" s="672"/>
      <c r="EH30" s="672"/>
      <c r="EI30" s="672"/>
      <c r="EJ30" s="672"/>
      <c r="EK30" s="672"/>
      <c r="EL30" s="672"/>
      <c r="EM30" s="672"/>
      <c r="EN30" s="672"/>
      <c r="EO30" s="672"/>
      <c r="EP30" s="672"/>
      <c r="EQ30" s="672"/>
      <c r="ER30" s="672"/>
      <c r="ES30" s="672"/>
      <c r="ET30" s="672"/>
      <c r="EU30" s="672"/>
      <c r="EV30" s="672"/>
      <c r="EW30" s="672"/>
      <c r="EX30" s="672"/>
      <c r="EY30" s="672"/>
      <c r="EZ30" s="672"/>
      <c r="FA30" s="672"/>
      <c r="FB30" s="672"/>
      <c r="FC30" s="672"/>
      <c r="FD30" s="672"/>
      <c r="FE30" s="672"/>
      <c r="FF30" s="672"/>
      <c r="FG30" s="672"/>
      <c r="FH30" s="672"/>
      <c r="FI30" s="672"/>
      <c r="FJ30" s="672"/>
      <c r="FK30" s="672"/>
      <c r="FL30" s="672"/>
      <c r="FM30" s="672"/>
      <c r="FN30" s="672"/>
      <c r="FO30" s="672"/>
      <c r="FP30" s="672"/>
      <c r="FQ30" s="672"/>
      <c r="FR30" s="672"/>
      <c r="FS30" s="672"/>
      <c r="FT30" s="672"/>
      <c r="FU30" s="672"/>
      <c r="FV30" s="672"/>
      <c r="FW30" s="672"/>
      <c r="FX30" s="672"/>
      <c r="FY30" s="672"/>
      <c r="FZ30" s="672"/>
      <c r="GA30" s="672"/>
      <c r="GB30" s="672"/>
      <c r="GC30" s="672"/>
      <c r="GD30" s="672"/>
      <c r="GE30" s="672"/>
      <c r="GF30" s="672"/>
      <c r="GG30" s="672"/>
      <c r="GH30" s="672"/>
      <c r="GI30" s="672"/>
      <c r="GJ30" s="672"/>
      <c r="GK30" s="672"/>
      <c r="GL30" s="672"/>
      <c r="GM30" s="672"/>
      <c r="GN30" s="672"/>
      <c r="GO30" s="672"/>
      <c r="GP30" s="672"/>
      <c r="GQ30" s="672"/>
      <c r="GR30" s="672"/>
      <c r="GS30" s="672"/>
      <c r="GT30" s="672"/>
      <c r="GU30" s="672"/>
      <c r="GV30" s="672"/>
      <c r="GW30" s="672"/>
      <c r="GX30" s="672"/>
      <c r="GY30" s="672"/>
      <c r="GZ30" s="672"/>
      <c r="HA30" s="672"/>
      <c r="HB30" s="672"/>
      <c r="HC30" s="672"/>
      <c r="HD30" s="672"/>
      <c r="HE30" s="672"/>
      <c r="HF30" s="672"/>
      <c r="HG30" s="672"/>
      <c r="HH30" s="672"/>
      <c r="HI30" s="672"/>
      <c r="HJ30" s="672"/>
      <c r="HK30" s="672"/>
      <c r="HL30" s="672"/>
      <c r="HM30" s="672"/>
      <c r="HN30" s="672"/>
      <c r="HO30" s="672"/>
      <c r="HP30" s="672"/>
      <c r="HQ30" s="672"/>
      <c r="HR30" s="672"/>
      <c r="HS30" s="672"/>
      <c r="HT30" s="672"/>
      <c r="HU30" s="672"/>
      <c r="HV30" s="672"/>
      <c r="HW30" s="672"/>
      <c r="HX30" s="672"/>
      <c r="HY30" s="672"/>
      <c r="HZ30" s="672"/>
      <c r="IA30" s="672"/>
      <c r="IB30" s="672"/>
      <c r="IC30" s="672"/>
      <c r="ID30" s="672"/>
      <c r="IE30" s="672"/>
      <c r="IF30" s="672"/>
      <c r="IG30" s="672"/>
      <c r="IH30" s="672"/>
      <c r="II30" s="672"/>
      <c r="IJ30" s="672"/>
      <c r="IK30" s="672"/>
      <c r="IL30" s="672"/>
      <c r="IM30" s="672"/>
      <c r="IN30" s="672"/>
      <c r="IO30" s="672"/>
      <c r="IP30" s="672"/>
      <c r="IQ30" s="672"/>
      <c r="IR30" s="672"/>
      <c r="IS30" s="672"/>
      <c r="IT30" s="672"/>
      <c r="IU30" s="672"/>
      <c r="IV30" s="672"/>
      <c r="IW30" s="672"/>
      <c r="IX30" s="672"/>
      <c r="IY30" s="672"/>
      <c r="IZ30" s="672"/>
      <c r="JA30" s="672"/>
      <c r="JB30" s="672"/>
      <c r="JC30" s="672"/>
      <c r="JD30" s="672"/>
      <c r="JE30" s="672"/>
      <c r="JF30" s="672"/>
      <c r="JG30" s="672"/>
      <c r="JH30" s="672"/>
      <c r="JI30" s="672"/>
      <c r="JJ30" s="672"/>
      <c r="JK30" s="672"/>
      <c r="JL30" s="672"/>
      <c r="JM30" s="672"/>
      <c r="JN30" s="672"/>
      <c r="JO30" s="672"/>
      <c r="JP30" s="672"/>
      <c r="JQ30" s="672"/>
      <c r="JR30" s="672"/>
      <c r="JS30" s="672"/>
      <c r="JT30" s="672"/>
      <c r="JU30" s="672"/>
      <c r="JV30" s="672"/>
      <c r="JW30" s="672"/>
      <c r="JX30" s="672"/>
      <c r="JY30" s="672"/>
      <c r="JZ30" s="672"/>
      <c r="KA30" s="672"/>
      <c r="KB30" s="672"/>
      <c r="KC30" s="672"/>
      <c r="KD30" s="672"/>
      <c r="KE30" s="672"/>
      <c r="KF30" s="672"/>
      <c r="KG30" s="672"/>
      <c r="KH30" s="672"/>
      <c r="KI30" s="672"/>
      <c r="KJ30" s="672"/>
      <c r="KK30" s="672"/>
      <c r="KL30" s="672"/>
      <c r="KM30" s="672"/>
      <c r="KN30" s="672"/>
      <c r="KO30" s="672"/>
      <c r="KP30" s="672"/>
      <c r="KQ30" s="672"/>
      <c r="KR30" s="672"/>
      <c r="KS30" s="672"/>
      <c r="KT30" s="672"/>
      <c r="KU30" s="672"/>
      <c r="KV30" s="672"/>
      <c r="KW30" s="672"/>
      <c r="KX30" s="672"/>
      <c r="KY30" s="672"/>
      <c r="KZ30" s="672"/>
      <c r="LA30" s="672"/>
      <c r="LB30" s="672"/>
      <c r="LC30" s="672"/>
      <c r="LD30" s="672"/>
      <c r="LE30" s="672"/>
      <c r="LF30" s="672"/>
      <c r="LG30" s="672"/>
      <c r="LH30" s="672"/>
      <c r="LI30" s="672"/>
      <c r="LJ30" s="672"/>
      <c r="LK30" s="672"/>
      <c r="LL30" s="672"/>
      <c r="LM30" s="672"/>
      <c r="LN30" s="672"/>
      <c r="LO30" s="672"/>
      <c r="LP30" s="672"/>
      <c r="LQ30" s="672"/>
      <c r="LR30" s="672"/>
      <c r="LS30" s="672"/>
      <c r="LT30" s="672"/>
      <c r="LU30" s="672"/>
      <c r="LV30" s="672"/>
      <c r="LW30" s="672"/>
      <c r="LX30" s="672"/>
      <c r="LY30" s="672"/>
      <c r="LZ30" s="672"/>
      <c r="MA30" s="672"/>
      <c r="MB30" s="672"/>
      <c r="MC30" s="672"/>
      <c r="MD30" s="672"/>
      <c r="ME30" s="672"/>
      <c r="MF30" s="672"/>
      <c r="MG30" s="672"/>
      <c r="MH30" s="672"/>
      <c r="MI30" s="672"/>
      <c r="MJ30" s="672"/>
      <c r="MK30" s="672"/>
      <c r="ML30" s="672"/>
      <c r="MM30" s="672"/>
      <c r="MN30" s="672"/>
      <c r="MO30" s="672"/>
      <c r="MP30" s="672"/>
      <c r="MQ30" s="672"/>
      <c r="MR30" s="672"/>
      <c r="MS30" s="672"/>
      <c r="MT30" s="672"/>
      <c r="MU30" s="672"/>
      <c r="MV30" s="672"/>
      <c r="MW30" s="672"/>
      <c r="MX30" s="672"/>
      <c r="MY30" s="672"/>
      <c r="MZ30" s="672"/>
      <c r="NA30" s="672"/>
      <c r="NB30" s="672"/>
      <c r="NC30" s="672"/>
      <c r="ND30" s="672"/>
      <c r="NE30" s="672"/>
      <c r="NF30" s="672"/>
      <c r="NG30" s="672"/>
      <c r="NH30" s="672"/>
      <c r="NI30" s="672"/>
      <c r="NJ30" s="672"/>
      <c r="NK30" s="672"/>
      <c r="NL30" s="672"/>
      <c r="NM30" s="672"/>
      <c r="NN30" s="672"/>
      <c r="NO30" s="672"/>
      <c r="NP30" s="672"/>
      <c r="NQ30" s="672"/>
      <c r="NR30" s="672"/>
      <c r="NS30" s="672"/>
      <c r="NT30" s="672"/>
      <c r="NU30" s="672"/>
      <c r="NV30" s="672"/>
      <c r="NW30" s="672"/>
      <c r="NX30" s="672"/>
      <c r="NY30" s="672"/>
      <c r="NZ30" s="672"/>
      <c r="OA30" s="672"/>
      <c r="OB30" s="672"/>
      <c r="OC30" s="672"/>
      <c r="OD30" s="672"/>
      <c r="OE30" s="672"/>
      <c r="OF30" s="672"/>
      <c r="OG30" s="672"/>
      <c r="OH30" s="672"/>
      <c r="OI30" s="672"/>
      <c r="OJ30" s="672"/>
      <c r="OK30" s="672"/>
      <c r="OL30" s="672"/>
      <c r="OM30" s="672"/>
      <c r="ON30" s="672"/>
      <c r="OO30" s="672"/>
      <c r="OP30" s="672"/>
      <c r="OQ30" s="672"/>
      <c r="OR30" s="672"/>
      <c r="OS30" s="672"/>
      <c r="OT30" s="672"/>
      <c r="OU30" s="672"/>
      <c r="OV30" s="672"/>
      <c r="OW30" s="672"/>
      <c r="OX30" s="672"/>
      <c r="OY30" s="672"/>
      <c r="OZ30" s="672"/>
      <c r="PA30" s="672"/>
      <c r="PB30" s="672"/>
      <c r="PC30" s="672"/>
      <c r="PD30" s="672"/>
      <c r="PE30" s="672"/>
      <c r="PF30" s="672"/>
      <c r="PG30" s="672"/>
      <c r="PH30" s="672"/>
      <c r="PI30" s="672"/>
      <c r="PJ30" s="672"/>
      <c r="PK30" s="672"/>
      <c r="PL30" s="672"/>
      <c r="PM30" s="672"/>
      <c r="PN30" s="672"/>
      <c r="PO30" s="672"/>
      <c r="PP30" s="672"/>
      <c r="PQ30" s="672"/>
      <c r="PR30" s="672"/>
      <c r="PS30" s="672"/>
      <c r="PT30" s="672"/>
      <c r="PU30" s="672"/>
      <c r="PV30" s="672"/>
      <c r="PW30" s="672"/>
      <c r="PX30" s="672"/>
      <c r="PY30" s="672"/>
      <c r="PZ30" s="672"/>
      <c r="QA30" s="672"/>
      <c r="QB30" s="672"/>
      <c r="QC30" s="672"/>
      <c r="QD30" s="672"/>
      <c r="QE30" s="672"/>
      <c r="QF30" s="672"/>
      <c r="QG30" s="672"/>
      <c r="QH30" s="672"/>
      <c r="QI30" s="672"/>
      <c r="QJ30" s="672"/>
      <c r="QK30" s="672"/>
      <c r="QL30" s="672"/>
      <c r="QM30" s="672"/>
      <c r="QN30" s="672"/>
      <c r="QO30" s="672"/>
      <c r="QP30" s="672"/>
      <c r="QQ30" s="672"/>
      <c r="QR30" s="672"/>
      <c r="QS30" s="672"/>
      <c r="QT30" s="672"/>
      <c r="QU30" s="672"/>
      <c r="QV30" s="672"/>
      <c r="QW30" s="672"/>
      <c r="QX30" s="672"/>
      <c r="QY30" s="672"/>
      <c r="QZ30" s="672"/>
      <c r="RA30" s="672"/>
      <c r="RB30" s="672"/>
      <c r="RC30" s="672"/>
      <c r="RD30" s="672"/>
      <c r="RE30" s="672"/>
      <c r="RF30" s="672"/>
      <c r="RG30" s="672"/>
      <c r="RH30" s="672"/>
      <c r="RI30" s="672"/>
      <c r="RJ30" s="672"/>
      <c r="RK30" s="672"/>
      <c r="RL30" s="672"/>
      <c r="RM30" s="672"/>
      <c r="RN30" s="672"/>
      <c r="RO30" s="672"/>
      <c r="RP30" s="672"/>
      <c r="RQ30" s="672"/>
      <c r="RR30" s="672"/>
      <c r="RS30" s="672"/>
      <c r="RT30" s="672"/>
      <c r="RU30" s="672"/>
      <c r="RV30" s="672"/>
      <c r="RW30" s="672"/>
      <c r="RX30" s="672"/>
      <c r="RY30" s="672"/>
      <c r="RZ30" s="672"/>
      <c r="SA30" s="672"/>
      <c r="SB30" s="672"/>
      <c r="SC30" s="672"/>
      <c r="SD30" s="672"/>
      <c r="SE30" s="672"/>
      <c r="SF30" s="672"/>
      <c r="SG30" s="672"/>
      <c r="SH30" s="672"/>
      <c r="SI30" s="672"/>
      <c r="SJ30" s="672"/>
      <c r="SK30" s="672"/>
      <c r="SL30" s="672"/>
      <c r="SM30" s="672"/>
      <c r="SN30" s="672"/>
      <c r="SO30" s="672"/>
      <c r="SP30" s="672"/>
      <c r="SQ30" s="672"/>
      <c r="SR30" s="672"/>
      <c r="SS30" s="672"/>
      <c r="ST30" s="672"/>
      <c r="SU30" s="672"/>
      <c r="SV30" s="672"/>
      <c r="SW30" s="672"/>
      <c r="SX30" s="672"/>
      <c r="SY30" s="672"/>
      <c r="SZ30" s="672"/>
      <c r="TA30" s="672"/>
      <c r="TB30" s="672"/>
      <c r="TC30" s="672"/>
      <c r="TD30" s="672"/>
      <c r="TE30" s="672"/>
      <c r="TF30" s="672"/>
      <c r="TG30" s="672"/>
      <c r="TH30" s="672"/>
      <c r="TI30" s="672"/>
      <c r="TJ30" s="672"/>
      <c r="TK30" s="672"/>
      <c r="TL30" s="672"/>
      <c r="TM30" s="672"/>
      <c r="TN30" s="672"/>
      <c r="TO30" s="672"/>
      <c r="TP30" s="672"/>
      <c r="TQ30" s="672"/>
      <c r="TR30" s="672"/>
      <c r="TS30" s="672"/>
      <c r="TT30" s="672"/>
      <c r="TU30" s="672"/>
      <c r="TV30" s="672"/>
      <c r="TW30" s="672"/>
      <c r="TX30" s="672"/>
      <c r="TY30" s="672"/>
      <c r="TZ30" s="672"/>
      <c r="UA30" s="672"/>
      <c r="UB30" s="672"/>
      <c r="UC30" s="672"/>
      <c r="UD30" s="672"/>
      <c r="UE30" s="672"/>
      <c r="UF30" s="672"/>
      <c r="UG30" s="672"/>
      <c r="UH30" s="672"/>
      <c r="UI30" s="672"/>
      <c r="UJ30" s="672"/>
      <c r="UK30" s="672"/>
      <c r="UL30" s="672"/>
      <c r="UM30" s="672"/>
      <c r="UN30" s="672"/>
      <c r="UO30" s="672"/>
      <c r="UP30" s="672"/>
      <c r="UQ30" s="672"/>
      <c r="UR30" s="672"/>
      <c r="US30" s="672"/>
      <c r="UT30" s="672"/>
      <c r="UU30" s="672"/>
      <c r="UV30" s="672"/>
      <c r="UW30" s="672"/>
      <c r="UX30" s="672"/>
      <c r="UY30" s="672"/>
      <c r="UZ30" s="672"/>
      <c r="VA30" s="672"/>
      <c r="VB30" s="672"/>
      <c r="VC30" s="672"/>
      <c r="VD30" s="672"/>
      <c r="VE30" s="672"/>
      <c r="VF30" s="672"/>
      <c r="VG30" s="672"/>
      <c r="VH30" s="672"/>
      <c r="VI30" s="672"/>
      <c r="VJ30" s="672"/>
      <c r="VK30" s="672"/>
      <c r="VL30" s="672"/>
      <c r="VM30" s="672"/>
      <c r="VN30" s="672"/>
      <c r="VO30" s="672"/>
      <c r="VP30" s="672"/>
      <c r="VQ30" s="672"/>
      <c r="VR30" s="672"/>
      <c r="VS30" s="672"/>
      <c r="VT30" s="672"/>
      <c r="VU30" s="672"/>
      <c r="VV30" s="672"/>
      <c r="VW30" s="672"/>
      <c r="VX30" s="672"/>
      <c r="VY30" s="672"/>
      <c r="VZ30" s="672"/>
      <c r="WA30" s="672"/>
      <c r="WB30" s="672"/>
      <c r="WC30" s="672"/>
      <c r="WD30" s="672"/>
      <c r="WE30" s="672"/>
      <c r="WF30" s="672"/>
      <c r="WG30" s="672"/>
      <c r="WH30" s="672"/>
      <c r="WI30" s="672"/>
      <c r="WJ30" s="672"/>
      <c r="WK30" s="672"/>
      <c r="WL30" s="672"/>
      <c r="WM30" s="672"/>
      <c r="WN30" s="672"/>
      <c r="WO30" s="672"/>
      <c r="WP30" s="672"/>
      <c r="WQ30" s="672"/>
      <c r="WR30" s="672"/>
      <c r="WS30" s="672"/>
      <c r="WT30" s="672"/>
      <c r="WU30" s="672"/>
      <c r="WV30" s="672"/>
      <c r="WW30" s="672"/>
      <c r="WX30" s="672"/>
      <c r="WY30" s="672"/>
      <c r="WZ30" s="672"/>
      <c r="XA30" s="672"/>
      <c r="XB30" s="672"/>
      <c r="XC30" s="672"/>
      <c r="XD30" s="672"/>
      <c r="XE30" s="672"/>
      <c r="XF30" s="672"/>
      <c r="XG30" s="672"/>
      <c r="XH30" s="672"/>
      <c r="XI30" s="672"/>
      <c r="XJ30" s="672"/>
      <c r="XK30" s="672"/>
      <c r="XL30" s="672"/>
      <c r="XM30" s="672"/>
      <c r="XN30" s="672"/>
      <c r="XO30" s="672"/>
      <c r="XP30" s="672"/>
      <c r="XQ30" s="672"/>
      <c r="XR30" s="672"/>
      <c r="XS30" s="672"/>
      <c r="XT30" s="672"/>
      <c r="XU30" s="672"/>
      <c r="XV30" s="672"/>
      <c r="XW30" s="672"/>
      <c r="XX30" s="672"/>
      <c r="XY30" s="672"/>
      <c r="XZ30" s="672"/>
      <c r="YA30" s="672"/>
      <c r="YB30" s="672"/>
      <c r="YC30" s="672"/>
      <c r="YD30" s="672"/>
      <c r="YE30" s="672"/>
      <c r="YF30" s="672"/>
      <c r="YG30" s="672"/>
      <c r="YH30" s="672"/>
      <c r="YI30" s="672"/>
      <c r="YJ30" s="672"/>
      <c r="YK30" s="672"/>
      <c r="YL30" s="672"/>
      <c r="YM30" s="672"/>
      <c r="YN30" s="672"/>
      <c r="YO30" s="672"/>
      <c r="YP30" s="672"/>
      <c r="YQ30" s="672"/>
      <c r="YR30" s="672"/>
      <c r="YS30" s="672"/>
      <c r="YT30" s="672"/>
      <c r="YU30" s="672"/>
      <c r="YV30" s="672"/>
      <c r="YW30" s="672"/>
      <c r="YX30" s="672"/>
      <c r="YY30" s="672"/>
      <c r="YZ30" s="672"/>
      <c r="ZA30" s="672"/>
      <c r="ZB30" s="672"/>
      <c r="ZC30" s="672"/>
      <c r="ZD30" s="672"/>
      <c r="ZE30" s="672"/>
      <c r="ZF30" s="672"/>
      <c r="ZG30" s="672"/>
      <c r="ZH30" s="672"/>
      <c r="ZI30" s="672"/>
      <c r="ZJ30" s="672"/>
      <c r="ZK30" s="672"/>
      <c r="ZL30" s="672"/>
      <c r="ZM30" s="672"/>
      <c r="ZN30" s="672"/>
      <c r="ZO30" s="672"/>
      <c r="ZP30" s="672"/>
      <c r="ZQ30" s="672"/>
      <c r="ZR30" s="672"/>
      <c r="ZS30" s="672"/>
      <c r="ZT30" s="672"/>
      <c r="ZU30" s="672"/>
      <c r="ZV30" s="672"/>
      <c r="ZW30" s="672"/>
      <c r="ZX30" s="672"/>
      <c r="ZY30" s="672"/>
      <c r="ZZ30" s="672"/>
      <c r="AAA30" s="672"/>
      <c r="AAB30" s="672"/>
      <c r="AAC30" s="672"/>
      <c r="AAD30" s="672"/>
      <c r="AAE30" s="672"/>
      <c r="AAF30" s="672"/>
      <c r="AAG30" s="672"/>
      <c r="AAH30" s="672"/>
      <c r="AAI30" s="672"/>
      <c r="AAJ30" s="672"/>
      <c r="AAK30" s="672"/>
      <c r="AAL30" s="672"/>
      <c r="AAM30" s="672"/>
      <c r="AAN30" s="672"/>
      <c r="AAO30" s="672"/>
      <c r="AAP30" s="672"/>
      <c r="AAQ30" s="672"/>
      <c r="AAR30" s="672"/>
      <c r="AAS30" s="672"/>
      <c r="AAT30" s="672"/>
      <c r="AAU30" s="672"/>
      <c r="AAV30" s="672"/>
      <c r="AAW30" s="672"/>
      <c r="AAX30" s="672"/>
      <c r="AAY30" s="672"/>
      <c r="AAZ30" s="672"/>
      <c r="ABA30" s="672"/>
      <c r="ABB30" s="672"/>
      <c r="ABC30" s="672"/>
      <c r="ABD30" s="672"/>
      <c r="ABE30" s="672"/>
      <c r="ABF30" s="672"/>
      <c r="ABG30" s="672"/>
      <c r="ABH30" s="672"/>
      <c r="ABI30" s="672"/>
      <c r="ABJ30" s="672"/>
      <c r="ABK30" s="672"/>
      <c r="ABL30" s="672"/>
      <c r="ABM30" s="672"/>
      <c r="ABN30" s="672"/>
      <c r="ABO30" s="672"/>
      <c r="ABP30" s="672"/>
      <c r="ABQ30" s="672"/>
      <c r="ABR30" s="672"/>
      <c r="ABS30" s="672"/>
      <c r="ABT30" s="672"/>
      <c r="ABU30" s="672"/>
      <c r="ABV30" s="672"/>
      <c r="ABW30" s="672"/>
      <c r="ABX30" s="672"/>
      <c r="ABY30" s="672"/>
      <c r="ABZ30" s="672"/>
      <c r="ACA30" s="672"/>
      <c r="ACB30" s="672"/>
      <c r="ACC30" s="672"/>
      <c r="ACD30" s="672"/>
      <c r="ACE30" s="672"/>
      <c r="ACF30" s="672"/>
      <c r="ACG30" s="672"/>
      <c r="ACH30" s="672"/>
      <c r="ACI30" s="672"/>
      <c r="ACJ30" s="672"/>
      <c r="ACK30" s="672"/>
      <c r="ACL30" s="672"/>
      <c r="ACM30" s="672"/>
      <c r="ACN30" s="672"/>
      <c r="ACO30" s="672"/>
      <c r="ACP30" s="672"/>
      <c r="ACQ30" s="672"/>
      <c r="ACR30" s="672"/>
      <c r="ACS30" s="672"/>
      <c r="ACT30" s="672"/>
      <c r="ACU30" s="672"/>
      <c r="ACV30" s="672"/>
      <c r="ACW30" s="672"/>
      <c r="ACX30" s="672"/>
      <c r="ACY30" s="672"/>
      <c r="ACZ30" s="672"/>
      <c r="ADA30" s="672"/>
      <c r="ADB30" s="672"/>
      <c r="ADC30" s="672"/>
      <c r="ADD30" s="672"/>
      <c r="ADE30" s="672"/>
      <c r="ADF30" s="672"/>
      <c r="ADG30" s="672"/>
      <c r="ADH30" s="672"/>
      <c r="ADI30" s="672"/>
      <c r="ADJ30" s="672"/>
      <c r="ADK30" s="672"/>
      <c r="ADL30" s="672"/>
      <c r="ADM30" s="672"/>
      <c r="ADN30" s="672"/>
      <c r="ADO30" s="672"/>
      <c r="ADP30" s="672"/>
      <c r="ADQ30" s="672"/>
      <c r="ADR30" s="672"/>
      <c r="ADS30" s="672"/>
      <c r="ADT30" s="672"/>
      <c r="ADU30" s="672"/>
      <c r="ADV30" s="672"/>
      <c r="ADW30" s="672"/>
      <c r="ADX30" s="672"/>
      <c r="ADY30" s="672"/>
      <c r="ADZ30" s="672"/>
      <c r="AEA30" s="672"/>
      <c r="AEB30" s="672"/>
      <c r="AEC30" s="672"/>
      <c r="AED30" s="672"/>
      <c r="AEE30" s="672"/>
      <c r="AEF30" s="672"/>
      <c r="AEG30" s="672"/>
      <c r="AEH30" s="672"/>
      <c r="AEI30" s="672"/>
      <c r="AEJ30" s="672"/>
      <c r="AEK30" s="672"/>
      <c r="AEL30" s="672"/>
      <c r="AEM30" s="672"/>
      <c r="AEN30" s="672"/>
      <c r="AEO30" s="672"/>
      <c r="AEP30" s="672"/>
      <c r="AEQ30" s="672"/>
      <c r="AER30" s="672"/>
      <c r="AES30" s="672"/>
      <c r="AET30" s="672"/>
      <c r="AEU30" s="672"/>
      <c r="AEV30" s="672"/>
      <c r="AEW30" s="672"/>
      <c r="AEX30" s="672"/>
      <c r="AEY30" s="672"/>
      <c r="AEZ30" s="672"/>
      <c r="AFA30" s="672"/>
      <c r="AFB30" s="672"/>
      <c r="AFC30" s="672"/>
      <c r="AFD30" s="672"/>
      <c r="AFE30" s="672"/>
      <c r="AFF30" s="672"/>
      <c r="AFG30" s="672"/>
      <c r="AFH30" s="672"/>
      <c r="AFI30" s="672"/>
      <c r="AFJ30" s="672"/>
      <c r="AFK30" s="672"/>
      <c r="AFL30" s="672"/>
      <c r="AFM30" s="672"/>
      <c r="AFN30" s="672"/>
      <c r="AFO30" s="672"/>
      <c r="AFP30" s="672"/>
      <c r="AFQ30" s="672"/>
      <c r="AFR30" s="672"/>
      <c r="AFS30" s="672"/>
      <c r="AFT30" s="672"/>
      <c r="AFU30" s="672"/>
      <c r="AFV30" s="672"/>
      <c r="AFW30" s="672"/>
      <c r="AFX30" s="672"/>
      <c r="AFY30" s="672"/>
      <c r="AFZ30" s="672"/>
      <c r="AGA30" s="672"/>
      <c r="AGB30" s="672"/>
      <c r="AGC30" s="672"/>
      <c r="AGD30" s="672"/>
      <c r="AGE30" s="672"/>
      <c r="AGF30" s="672"/>
      <c r="AGG30" s="672"/>
      <c r="AGH30" s="672"/>
      <c r="AGI30" s="672"/>
      <c r="AGJ30" s="672"/>
      <c r="AGK30" s="672"/>
      <c r="AGL30" s="672"/>
      <c r="AGM30" s="672"/>
      <c r="AGN30" s="672"/>
      <c r="AGO30" s="672"/>
      <c r="AGP30" s="672"/>
      <c r="AGQ30" s="672"/>
      <c r="AGR30" s="672"/>
      <c r="AGS30" s="672"/>
      <c r="AGT30" s="672"/>
      <c r="AGU30" s="672"/>
      <c r="AGV30" s="672"/>
      <c r="AGW30" s="672"/>
      <c r="AGX30" s="672"/>
      <c r="AGY30" s="672"/>
      <c r="AGZ30" s="672"/>
      <c r="AHA30" s="672"/>
      <c r="AHB30" s="672"/>
      <c r="AHC30" s="672"/>
      <c r="AHD30" s="672"/>
      <c r="AHE30" s="672"/>
      <c r="AHF30" s="672"/>
      <c r="AHG30" s="672"/>
      <c r="AHH30" s="672"/>
      <c r="AHI30" s="672"/>
      <c r="AHJ30" s="672"/>
      <c r="AHK30" s="672"/>
      <c r="AHL30" s="672"/>
      <c r="AHM30" s="672"/>
      <c r="AHN30" s="672"/>
      <c r="AHO30" s="672"/>
      <c r="AHP30" s="672"/>
      <c r="AHQ30" s="672"/>
      <c r="AHR30" s="672"/>
      <c r="AHS30" s="672"/>
      <c r="AHT30" s="672"/>
      <c r="AHU30" s="672"/>
      <c r="AHV30" s="672"/>
      <c r="AHW30" s="672"/>
      <c r="AHX30" s="672"/>
      <c r="AHY30" s="672"/>
      <c r="AHZ30" s="672"/>
      <c r="AIA30" s="672"/>
      <c r="AIB30" s="672"/>
      <c r="AIC30" s="672"/>
      <c r="AID30" s="672"/>
      <c r="AIE30" s="672"/>
      <c r="AIF30" s="672"/>
      <c r="AIG30" s="672"/>
      <c r="AIH30" s="672"/>
      <c r="AII30" s="672"/>
      <c r="AIJ30" s="672"/>
      <c r="AIK30" s="672"/>
      <c r="AIL30" s="672"/>
      <c r="AIM30" s="672"/>
      <c r="AIN30" s="672"/>
      <c r="AIO30" s="672"/>
      <c r="AIP30" s="672"/>
      <c r="AIQ30" s="672"/>
      <c r="AIR30" s="672"/>
      <c r="AIS30" s="672"/>
      <c r="AIT30" s="672"/>
      <c r="AIU30" s="672"/>
      <c r="AIV30" s="672"/>
      <c r="AIW30" s="672"/>
      <c r="AIX30" s="672"/>
      <c r="AIY30" s="672"/>
      <c r="AIZ30" s="672"/>
      <c r="AJA30" s="672"/>
      <c r="AJB30" s="672"/>
      <c r="AJC30" s="672"/>
      <c r="AJD30" s="672"/>
      <c r="AJE30" s="672"/>
      <c r="AJF30" s="672"/>
      <c r="AJG30" s="672"/>
      <c r="AJH30" s="672"/>
      <c r="AJI30" s="672"/>
      <c r="AJJ30" s="672"/>
      <c r="AJK30" s="672"/>
      <c r="AJL30" s="672"/>
      <c r="AJM30" s="672"/>
      <c r="AJN30" s="672"/>
      <c r="AJO30" s="672"/>
      <c r="AJP30" s="672"/>
      <c r="AJQ30" s="672"/>
      <c r="AJR30" s="672"/>
      <c r="AJS30" s="672"/>
      <c r="AJT30" s="672"/>
      <c r="AJU30" s="672"/>
      <c r="AJV30" s="672"/>
      <c r="AJW30" s="672"/>
      <c r="AJX30" s="672"/>
      <c r="AJY30" s="672"/>
      <c r="AJZ30" s="672"/>
      <c r="AKA30" s="672"/>
      <c r="AKB30" s="672"/>
      <c r="AKC30" s="672"/>
      <c r="AKD30" s="672"/>
      <c r="AKE30" s="672"/>
      <c r="AKF30" s="672"/>
      <c r="AKG30" s="672"/>
      <c r="AKH30" s="672"/>
      <c r="AKI30" s="672"/>
      <c r="AKJ30" s="672"/>
      <c r="AKK30" s="672"/>
      <c r="AKL30" s="672"/>
      <c r="AKM30" s="672"/>
      <c r="AKN30" s="672"/>
      <c r="AKO30" s="672"/>
      <c r="AKP30" s="672"/>
      <c r="AKQ30" s="672"/>
      <c r="AKR30" s="672"/>
      <c r="AKS30" s="672"/>
      <c r="AKT30" s="672"/>
      <c r="AKU30" s="672"/>
      <c r="AKV30" s="672"/>
      <c r="AKW30" s="672"/>
      <c r="AKX30" s="672"/>
      <c r="AKY30" s="672"/>
      <c r="AKZ30" s="672"/>
      <c r="ALA30" s="672"/>
      <c r="ALB30" s="672"/>
      <c r="ALC30" s="672"/>
      <c r="ALD30" s="672"/>
      <c r="ALE30" s="672"/>
      <c r="ALF30" s="672"/>
      <c r="ALG30" s="672"/>
      <c r="ALH30" s="672"/>
      <c r="ALI30" s="672"/>
      <c r="ALJ30" s="672"/>
      <c r="ALK30" s="672"/>
      <c r="ALL30" s="672"/>
      <c r="ALM30" s="672"/>
      <c r="ALN30" s="672"/>
      <c r="ALO30" s="672"/>
      <c r="ALP30" s="672"/>
      <c r="ALQ30" s="672"/>
      <c r="ALR30" s="672"/>
      <c r="ALS30" s="672"/>
      <c r="ALT30" s="672"/>
      <c r="ALU30" s="672"/>
      <c r="ALV30" s="672"/>
      <c r="ALW30" s="672"/>
      <c r="ALX30" s="672"/>
      <c r="ALY30" s="672"/>
      <c r="ALZ30" s="672"/>
      <c r="AMA30" s="672"/>
      <c r="AMB30" s="672"/>
      <c r="AMC30" s="672"/>
      <c r="AMD30" s="672"/>
      <c r="AME30" s="672"/>
      <c r="AMF30" s="672"/>
      <c r="AMG30" s="672"/>
      <c r="AMH30" s="672"/>
      <c r="AMI30" s="672"/>
      <c r="AMJ30" s="672"/>
      <c r="AMK30" s="672"/>
      <c r="AML30" s="672"/>
      <c r="AMM30" s="672"/>
      <c r="AMN30" s="672"/>
      <c r="AMO30" s="672"/>
      <c r="AMP30" s="672"/>
      <c r="AMQ30" s="672"/>
      <c r="AMR30" s="672"/>
      <c r="AMS30" s="672"/>
      <c r="AMT30" s="672"/>
      <c r="AMU30" s="672"/>
      <c r="AMV30" s="672"/>
      <c r="AMW30" s="672"/>
      <c r="AMX30" s="672"/>
      <c r="AMY30" s="672"/>
      <c r="AMZ30" s="672"/>
      <c r="ANA30" s="672"/>
      <c r="ANB30" s="672"/>
      <c r="ANC30" s="672"/>
      <c r="AND30" s="672"/>
      <c r="ANE30" s="672"/>
      <c r="ANF30" s="672"/>
      <c r="ANG30" s="672"/>
      <c r="ANH30" s="672"/>
      <c r="ANI30" s="672"/>
      <c r="ANJ30" s="672"/>
      <c r="ANK30" s="672"/>
      <c r="ANL30" s="672"/>
      <c r="ANM30" s="672"/>
      <c r="ANN30" s="672"/>
      <c r="ANO30" s="672"/>
      <c r="ANP30" s="672"/>
      <c r="ANQ30" s="672"/>
      <c r="ANR30" s="672"/>
      <c r="ANS30" s="672"/>
      <c r="ANT30" s="672"/>
      <c r="ANU30" s="672"/>
      <c r="ANV30" s="672"/>
      <c r="ANW30" s="672"/>
      <c r="ANX30" s="672"/>
      <c r="ANY30" s="672"/>
      <c r="ANZ30" s="672"/>
      <c r="AOA30" s="672"/>
      <c r="AOB30" s="672"/>
      <c r="AOC30" s="672"/>
      <c r="AOD30" s="672"/>
      <c r="AOE30" s="672"/>
      <c r="AOF30" s="672"/>
      <c r="AOG30" s="672"/>
      <c r="AOH30" s="672"/>
      <c r="AOI30" s="672"/>
      <c r="AOJ30" s="672"/>
      <c r="AOK30" s="672"/>
      <c r="AOL30" s="672"/>
      <c r="AOM30" s="672"/>
      <c r="AON30" s="672"/>
      <c r="AOO30" s="672"/>
      <c r="AOP30" s="672"/>
      <c r="AOQ30" s="672"/>
      <c r="AOR30" s="672"/>
      <c r="AOS30" s="672"/>
      <c r="AOT30" s="672"/>
      <c r="AOU30" s="672"/>
      <c r="AOV30" s="672"/>
      <c r="AOW30" s="672"/>
      <c r="AOX30" s="672"/>
      <c r="AOY30" s="672"/>
      <c r="AOZ30" s="672"/>
      <c r="APA30" s="672"/>
      <c r="APB30" s="672"/>
      <c r="APC30" s="672"/>
      <c r="APD30" s="672"/>
      <c r="APE30" s="672"/>
      <c r="APF30" s="672"/>
      <c r="APG30" s="672"/>
      <c r="APH30" s="672"/>
      <c r="API30" s="672"/>
      <c r="APJ30" s="672"/>
      <c r="APK30" s="672"/>
      <c r="APL30" s="672"/>
      <c r="APM30" s="672"/>
      <c r="APN30" s="672"/>
      <c r="APO30" s="672"/>
      <c r="APP30" s="672"/>
      <c r="APQ30" s="672"/>
      <c r="APR30" s="672"/>
      <c r="APS30" s="672"/>
      <c r="APT30" s="672"/>
      <c r="APU30" s="672"/>
      <c r="APV30" s="672"/>
      <c r="APW30" s="672"/>
      <c r="APX30" s="672"/>
      <c r="APY30" s="672"/>
      <c r="APZ30" s="672"/>
      <c r="AQA30" s="672"/>
      <c r="AQB30" s="672"/>
      <c r="AQC30" s="672"/>
      <c r="AQD30" s="672"/>
      <c r="AQE30" s="672"/>
      <c r="AQF30" s="672"/>
      <c r="AQG30" s="672"/>
      <c r="AQH30" s="672"/>
      <c r="AQI30" s="672"/>
      <c r="AQJ30" s="672"/>
      <c r="AQK30" s="672"/>
      <c r="AQL30" s="672"/>
      <c r="AQM30" s="672"/>
      <c r="AQN30" s="672"/>
      <c r="AQO30" s="672"/>
      <c r="AQP30" s="672"/>
      <c r="AQQ30" s="672"/>
      <c r="AQR30" s="672"/>
      <c r="AQS30" s="672"/>
      <c r="AQT30" s="672"/>
      <c r="AQU30" s="672"/>
      <c r="AQV30" s="672"/>
      <c r="AQW30" s="672"/>
      <c r="AQX30" s="672"/>
      <c r="AQY30" s="672"/>
      <c r="AQZ30" s="672"/>
      <c r="ARA30" s="672"/>
      <c r="ARB30" s="672"/>
      <c r="ARC30" s="672"/>
      <c r="ARD30" s="672"/>
      <c r="ARE30" s="672"/>
      <c r="ARF30" s="672"/>
      <c r="ARG30" s="672"/>
      <c r="ARH30" s="672"/>
      <c r="ARI30" s="672"/>
      <c r="ARJ30" s="672"/>
      <c r="ARK30" s="672"/>
      <c r="ARL30" s="672"/>
      <c r="ARM30" s="672"/>
      <c r="ARN30" s="672"/>
      <c r="ARO30" s="672"/>
      <c r="ARP30" s="672"/>
      <c r="ARQ30" s="672"/>
      <c r="ARR30" s="672"/>
      <c r="ARS30" s="672"/>
      <c r="ART30" s="672"/>
      <c r="ARU30" s="672"/>
      <c r="ARV30" s="672"/>
      <c r="ARW30" s="672"/>
      <c r="ARX30" s="672"/>
      <c r="ARY30" s="672"/>
      <c r="ARZ30" s="672"/>
      <c r="ASA30" s="672"/>
      <c r="ASB30" s="672"/>
      <c r="ASC30" s="672"/>
      <c r="ASD30" s="672"/>
      <c r="ASE30" s="672"/>
      <c r="ASF30" s="672"/>
      <c r="ASG30" s="672"/>
      <c r="ASH30" s="672"/>
      <c r="ASI30" s="672"/>
      <c r="ASJ30" s="672"/>
      <c r="ASK30" s="672"/>
      <c r="ASL30" s="672"/>
      <c r="ASM30" s="672"/>
      <c r="ASN30" s="672"/>
      <c r="ASO30" s="672"/>
      <c r="ASP30" s="672"/>
      <c r="ASQ30" s="672"/>
      <c r="ASR30" s="672"/>
      <c r="ASS30" s="672"/>
      <c r="AST30" s="672"/>
      <c r="ASU30" s="672"/>
      <c r="ASV30" s="672"/>
      <c r="ASW30" s="672"/>
      <c r="ASX30" s="672"/>
      <c r="ASY30" s="672"/>
      <c r="ASZ30" s="672"/>
      <c r="ATA30" s="672"/>
      <c r="ATB30" s="672"/>
      <c r="ATC30" s="672"/>
      <c r="ATD30" s="672"/>
      <c r="ATE30" s="672"/>
      <c r="ATF30" s="672"/>
      <c r="ATG30" s="672"/>
      <c r="ATH30" s="672"/>
      <c r="ATI30" s="672"/>
      <c r="ATJ30" s="672"/>
      <c r="ATK30" s="672"/>
      <c r="ATL30" s="672"/>
      <c r="ATM30" s="672"/>
      <c r="ATN30" s="672"/>
      <c r="ATO30" s="672"/>
      <c r="ATP30" s="672"/>
      <c r="ATQ30" s="672"/>
      <c r="ATR30" s="672"/>
      <c r="ATS30" s="672"/>
      <c r="ATT30" s="672"/>
      <c r="ATU30" s="672"/>
      <c r="ATV30" s="672"/>
      <c r="ATW30" s="672"/>
      <c r="ATX30" s="672"/>
      <c r="ATY30" s="672"/>
      <c r="ATZ30" s="672"/>
      <c r="AUA30" s="672"/>
      <c r="AUB30" s="672"/>
      <c r="AUC30" s="672"/>
      <c r="AUD30" s="672"/>
      <c r="AUE30" s="672"/>
      <c r="AUF30" s="672"/>
      <c r="AUG30" s="672"/>
      <c r="AUH30" s="672"/>
      <c r="AUI30" s="672"/>
      <c r="AUJ30" s="672"/>
      <c r="AUK30" s="672"/>
      <c r="AUL30" s="672"/>
      <c r="AUM30" s="672"/>
      <c r="AUN30" s="672"/>
      <c r="AUO30" s="672"/>
      <c r="AUP30" s="672"/>
      <c r="AUQ30" s="672"/>
      <c r="AUR30" s="672"/>
      <c r="AUS30" s="672"/>
      <c r="AUT30" s="672"/>
      <c r="AUU30" s="672"/>
      <c r="AUV30" s="672"/>
      <c r="AUW30" s="672"/>
      <c r="AUX30" s="672"/>
      <c r="AUY30" s="672"/>
      <c r="AUZ30" s="672"/>
      <c r="AVA30" s="672"/>
      <c r="AVB30" s="672"/>
      <c r="AVC30" s="672"/>
      <c r="AVD30" s="672"/>
      <c r="AVE30" s="672"/>
      <c r="AVF30" s="672"/>
      <c r="AVG30" s="672"/>
      <c r="AVH30" s="672"/>
      <c r="AVI30" s="672"/>
      <c r="AVJ30" s="672"/>
      <c r="AVK30" s="672"/>
      <c r="AVL30" s="672"/>
      <c r="AVM30" s="672"/>
      <c r="AVN30" s="672"/>
      <c r="AVO30" s="672"/>
      <c r="AVP30" s="672"/>
      <c r="AVQ30" s="672"/>
      <c r="AVR30" s="672"/>
      <c r="AVS30" s="672"/>
      <c r="AVT30" s="672"/>
      <c r="AVU30" s="672"/>
      <c r="AVV30" s="672"/>
      <c r="AVW30" s="672"/>
      <c r="AVX30" s="672"/>
      <c r="AVY30" s="672"/>
      <c r="AVZ30" s="672"/>
      <c r="AWA30" s="672"/>
      <c r="AWB30" s="672"/>
      <c r="AWC30" s="672"/>
      <c r="AWD30" s="672"/>
      <c r="AWE30" s="672"/>
      <c r="AWF30" s="672"/>
      <c r="AWG30" s="672"/>
      <c r="AWH30" s="672"/>
      <c r="AWI30" s="672"/>
      <c r="AWJ30" s="672"/>
      <c r="AWK30" s="672"/>
      <c r="AWL30" s="672"/>
      <c r="AWM30" s="672"/>
      <c r="AWN30" s="672"/>
      <c r="AWO30" s="672"/>
      <c r="AWP30" s="672"/>
      <c r="AWQ30" s="672"/>
      <c r="AWR30" s="672"/>
      <c r="AWS30" s="672"/>
      <c r="AWT30" s="672"/>
      <c r="AWU30" s="672"/>
      <c r="AWV30" s="672"/>
      <c r="AWW30" s="672"/>
      <c r="AWX30" s="672"/>
      <c r="AWY30" s="672"/>
      <c r="AWZ30" s="672"/>
      <c r="AXA30" s="672"/>
      <c r="AXB30" s="672"/>
      <c r="AXC30" s="672"/>
      <c r="AXD30" s="672"/>
      <c r="AXE30" s="672"/>
      <c r="AXF30" s="672"/>
      <c r="AXG30" s="672"/>
      <c r="AXH30" s="672"/>
      <c r="AXI30" s="672"/>
      <c r="AXJ30" s="672"/>
      <c r="AXK30" s="672"/>
      <c r="AXL30" s="672"/>
      <c r="AXM30" s="672"/>
      <c r="AXN30" s="672"/>
      <c r="AXO30" s="672"/>
      <c r="AXP30" s="672"/>
      <c r="AXQ30" s="672"/>
      <c r="AXR30" s="672"/>
      <c r="AXS30" s="672"/>
      <c r="AXT30" s="672"/>
      <c r="AXU30" s="672"/>
      <c r="AXV30" s="672"/>
      <c r="AXW30" s="672"/>
      <c r="AXX30" s="672"/>
      <c r="AXY30" s="672"/>
      <c r="AXZ30" s="672"/>
      <c r="AYA30" s="672"/>
      <c r="AYB30" s="672"/>
      <c r="AYC30" s="672"/>
      <c r="AYD30" s="672"/>
      <c r="AYE30" s="672"/>
      <c r="AYF30" s="672"/>
      <c r="AYG30" s="672"/>
      <c r="AYH30" s="672"/>
      <c r="AYI30" s="672"/>
      <c r="AYJ30" s="672"/>
      <c r="AYK30" s="672"/>
      <c r="AYL30" s="672"/>
      <c r="AYM30" s="672"/>
      <c r="AYN30" s="672"/>
      <c r="AYO30" s="672"/>
      <c r="AYP30" s="672"/>
      <c r="AYQ30" s="672"/>
      <c r="AYR30" s="672"/>
      <c r="AYS30" s="672"/>
      <c r="AYT30" s="672"/>
      <c r="AYU30" s="672"/>
      <c r="AYV30" s="672"/>
      <c r="AYW30" s="672"/>
      <c r="AYX30" s="672"/>
      <c r="AYY30" s="672"/>
      <c r="AYZ30" s="672"/>
      <c r="AZA30" s="672"/>
      <c r="AZB30" s="672"/>
      <c r="AZC30" s="672"/>
      <c r="AZD30" s="672"/>
      <c r="AZE30" s="672"/>
      <c r="AZF30" s="672"/>
      <c r="AZG30" s="672"/>
      <c r="AZH30" s="672"/>
      <c r="AZI30" s="672"/>
      <c r="AZJ30" s="672"/>
      <c r="AZK30" s="672"/>
      <c r="AZL30" s="672"/>
      <c r="AZM30" s="672"/>
      <c r="AZN30" s="672"/>
      <c r="AZO30" s="672"/>
      <c r="AZP30" s="672"/>
      <c r="AZQ30" s="672"/>
      <c r="AZR30" s="672"/>
      <c r="AZS30" s="672"/>
      <c r="AZT30" s="672"/>
      <c r="AZU30" s="672"/>
      <c r="AZV30" s="672"/>
      <c r="AZW30" s="672"/>
      <c r="AZX30" s="672"/>
      <c r="AZY30" s="672"/>
      <c r="AZZ30" s="672"/>
      <c r="BAA30" s="672"/>
      <c r="BAB30" s="672"/>
      <c r="BAC30" s="672"/>
      <c r="BAD30" s="672"/>
      <c r="BAE30" s="672"/>
      <c r="BAF30" s="672"/>
      <c r="BAG30" s="672"/>
      <c r="BAH30" s="672"/>
      <c r="BAI30" s="672"/>
      <c r="BAJ30" s="672"/>
      <c r="BAK30" s="672"/>
      <c r="BAL30" s="672"/>
      <c r="BAM30" s="672"/>
      <c r="BAN30" s="672"/>
      <c r="BAO30" s="672"/>
      <c r="BAP30" s="672"/>
      <c r="BAQ30" s="672"/>
      <c r="BAR30" s="672"/>
      <c r="BAS30" s="672"/>
      <c r="BAT30" s="672"/>
      <c r="BAU30" s="672"/>
      <c r="BAV30" s="672"/>
      <c r="BAW30" s="672"/>
      <c r="BAX30" s="672"/>
      <c r="BAY30" s="672"/>
      <c r="BAZ30" s="672"/>
      <c r="BBA30" s="672"/>
      <c r="BBB30" s="672"/>
      <c r="BBC30" s="672"/>
      <c r="BBD30" s="672"/>
      <c r="BBE30" s="672"/>
      <c r="BBF30" s="672"/>
      <c r="BBG30" s="672"/>
      <c r="BBH30" s="672"/>
      <c r="BBI30" s="672"/>
      <c r="BBJ30" s="672"/>
      <c r="BBK30" s="672"/>
      <c r="BBL30" s="672"/>
      <c r="BBM30" s="672"/>
      <c r="BBN30" s="672"/>
      <c r="BBO30" s="672"/>
      <c r="BBP30" s="672"/>
      <c r="BBQ30" s="672"/>
      <c r="BBR30" s="672"/>
      <c r="BBS30" s="672"/>
      <c r="BBT30" s="672"/>
      <c r="BBU30" s="672"/>
      <c r="BBV30" s="672"/>
      <c r="BBW30" s="672"/>
      <c r="BBX30" s="672"/>
      <c r="BBY30" s="672"/>
      <c r="BBZ30" s="672"/>
      <c r="BCA30" s="672"/>
      <c r="BCB30" s="672"/>
      <c r="BCC30" s="672"/>
      <c r="BCD30" s="672"/>
      <c r="BCE30" s="672"/>
      <c r="BCF30" s="672"/>
      <c r="BCG30" s="672"/>
      <c r="BCH30" s="672"/>
      <c r="BCI30" s="672"/>
      <c r="BCJ30" s="672"/>
      <c r="BCK30" s="672"/>
      <c r="BCL30" s="672"/>
      <c r="BCM30" s="672"/>
      <c r="BCN30" s="672"/>
      <c r="BCO30" s="672"/>
      <c r="BCP30" s="672"/>
      <c r="BCQ30" s="672"/>
      <c r="BCR30" s="672"/>
      <c r="BCS30" s="672"/>
      <c r="BCT30" s="672"/>
      <c r="BCU30" s="672"/>
      <c r="BCV30" s="672"/>
      <c r="BCW30" s="672"/>
      <c r="BCX30" s="672"/>
      <c r="BCY30" s="672"/>
      <c r="BCZ30" s="672"/>
      <c r="BDA30" s="672"/>
      <c r="BDB30" s="672"/>
      <c r="BDC30" s="672"/>
      <c r="BDD30" s="672"/>
      <c r="BDE30" s="672"/>
      <c r="BDF30" s="672"/>
      <c r="BDG30" s="672"/>
      <c r="BDH30" s="672"/>
      <c r="BDI30" s="672"/>
      <c r="BDJ30" s="672"/>
      <c r="BDK30" s="672"/>
      <c r="BDL30" s="672"/>
      <c r="BDM30" s="672"/>
      <c r="BDN30" s="672"/>
      <c r="BDO30" s="672"/>
      <c r="BDP30" s="672"/>
      <c r="BDQ30" s="672"/>
      <c r="BDR30" s="672"/>
      <c r="BDS30" s="672"/>
      <c r="BDT30" s="672"/>
      <c r="BDU30" s="672"/>
      <c r="BDV30" s="672"/>
      <c r="BDW30" s="672"/>
      <c r="BDX30" s="672"/>
      <c r="BDY30" s="672"/>
      <c r="BDZ30" s="672"/>
      <c r="BEA30" s="672"/>
      <c r="BEB30" s="672"/>
      <c r="BEC30" s="672"/>
      <c r="BED30" s="672"/>
      <c r="BEE30" s="672"/>
      <c r="BEF30" s="672"/>
      <c r="BEG30" s="672"/>
      <c r="BEH30" s="672"/>
      <c r="BEI30" s="672"/>
      <c r="BEJ30" s="672"/>
      <c r="BEK30" s="672"/>
      <c r="BEL30" s="672"/>
      <c r="BEM30" s="672"/>
      <c r="BEN30" s="672"/>
      <c r="BEO30" s="672"/>
      <c r="BEP30" s="672"/>
      <c r="BEQ30" s="672"/>
      <c r="BER30" s="672"/>
      <c r="BES30" s="672"/>
      <c r="BET30" s="672"/>
      <c r="BEU30" s="672"/>
      <c r="BEV30" s="672"/>
      <c r="BEW30" s="672"/>
      <c r="BEX30" s="672"/>
      <c r="BEY30" s="672"/>
      <c r="BEZ30" s="672"/>
      <c r="BFA30" s="672"/>
      <c r="BFB30" s="672"/>
      <c r="BFC30" s="672"/>
      <c r="BFD30" s="672"/>
      <c r="BFE30" s="672"/>
      <c r="BFF30" s="672"/>
      <c r="BFG30" s="672"/>
      <c r="BFH30" s="672"/>
      <c r="BFI30" s="672"/>
      <c r="BFJ30" s="672"/>
      <c r="BFK30" s="672"/>
      <c r="BFL30" s="672"/>
      <c r="BFM30" s="672"/>
      <c r="BFN30" s="672"/>
      <c r="BFO30" s="672"/>
      <c r="BFP30" s="672"/>
      <c r="BFQ30" s="672"/>
      <c r="BFR30" s="672"/>
      <c r="BFS30" s="672"/>
      <c r="BFT30" s="672"/>
      <c r="BFU30" s="672"/>
      <c r="BFV30" s="672"/>
      <c r="BFW30" s="672"/>
      <c r="BFX30" s="672"/>
      <c r="BFY30" s="672"/>
      <c r="BFZ30" s="672"/>
      <c r="BGA30" s="672"/>
      <c r="BGB30" s="672"/>
      <c r="BGC30" s="672"/>
      <c r="BGD30" s="672"/>
      <c r="BGE30" s="672"/>
      <c r="BGF30" s="672"/>
      <c r="BGG30" s="672"/>
      <c r="BGH30" s="672"/>
      <c r="BGI30" s="672"/>
      <c r="BGJ30" s="672"/>
      <c r="BGK30" s="672"/>
      <c r="BGL30" s="672"/>
      <c r="BGM30" s="672"/>
      <c r="BGN30" s="672"/>
      <c r="BGO30" s="672"/>
      <c r="BGP30" s="672"/>
      <c r="BGQ30" s="672"/>
      <c r="BGR30" s="672"/>
      <c r="BGS30" s="672"/>
      <c r="BGT30" s="672"/>
      <c r="BGU30" s="672"/>
      <c r="BGV30" s="672"/>
      <c r="BGW30" s="672"/>
      <c r="BGX30" s="672"/>
      <c r="BGY30" s="672"/>
      <c r="BGZ30" s="672"/>
      <c r="BHA30" s="672"/>
      <c r="BHB30" s="672"/>
      <c r="BHC30" s="672"/>
      <c r="BHD30" s="672"/>
      <c r="BHE30" s="672"/>
      <c r="BHF30" s="672"/>
      <c r="BHG30" s="672"/>
      <c r="BHH30" s="672"/>
      <c r="BHI30" s="672"/>
      <c r="BHJ30" s="672"/>
      <c r="BHK30" s="672"/>
      <c r="BHL30" s="672"/>
      <c r="BHM30" s="672"/>
      <c r="BHN30" s="672"/>
      <c r="BHO30" s="672"/>
      <c r="BHP30" s="672"/>
      <c r="BHQ30" s="672"/>
      <c r="BHR30" s="672"/>
      <c r="BHS30" s="672"/>
      <c r="BHT30" s="672"/>
      <c r="BHU30" s="672"/>
      <c r="BHV30" s="672"/>
      <c r="BHW30" s="672"/>
      <c r="BHX30" s="672"/>
      <c r="BHY30" s="672"/>
      <c r="BHZ30" s="672"/>
      <c r="BIA30" s="672"/>
      <c r="BIB30" s="672"/>
      <c r="BIC30" s="672"/>
      <c r="BID30" s="672"/>
      <c r="BIE30" s="672"/>
      <c r="BIF30" s="672"/>
      <c r="BIG30" s="672"/>
      <c r="BIH30" s="672"/>
      <c r="BII30" s="672"/>
      <c r="BIJ30" s="672"/>
      <c r="BIK30" s="672"/>
      <c r="BIL30" s="672"/>
      <c r="BIM30" s="672"/>
      <c r="BIN30" s="672"/>
      <c r="BIO30" s="672"/>
      <c r="BIP30" s="672"/>
      <c r="BIQ30" s="672"/>
      <c r="BIR30" s="672"/>
      <c r="BIS30" s="672"/>
      <c r="BIT30" s="672"/>
      <c r="BIU30" s="672"/>
      <c r="BIV30" s="672"/>
      <c r="BIW30" s="672"/>
      <c r="BIX30" s="672"/>
      <c r="BIY30" s="672"/>
      <c r="BIZ30" s="672"/>
      <c r="BJA30" s="672"/>
      <c r="BJB30" s="672"/>
      <c r="BJC30" s="672"/>
      <c r="BJD30" s="672"/>
      <c r="BJE30" s="672"/>
      <c r="BJF30" s="672"/>
      <c r="BJG30" s="672"/>
      <c r="BJH30" s="672"/>
      <c r="BJI30" s="672"/>
      <c r="BJJ30" s="672"/>
      <c r="BJK30" s="672"/>
      <c r="BJL30" s="672"/>
      <c r="BJM30" s="672"/>
      <c r="BJN30" s="672"/>
      <c r="BJO30" s="672"/>
      <c r="BJP30" s="672"/>
      <c r="BJQ30" s="672"/>
      <c r="BJR30" s="672"/>
      <c r="BJS30" s="672"/>
      <c r="BJT30" s="672"/>
      <c r="BJU30" s="672"/>
      <c r="BJV30" s="672"/>
      <c r="BJW30" s="672"/>
      <c r="BJX30" s="672"/>
      <c r="BJY30" s="672"/>
      <c r="BJZ30" s="672"/>
      <c r="BKA30" s="672"/>
      <c r="BKB30" s="672"/>
      <c r="BKC30" s="672"/>
      <c r="BKD30" s="672"/>
      <c r="BKE30" s="672"/>
      <c r="BKF30" s="672"/>
      <c r="BKG30" s="672"/>
      <c r="BKH30" s="672"/>
      <c r="BKI30" s="672"/>
      <c r="BKJ30" s="672"/>
      <c r="BKK30" s="672"/>
      <c r="BKL30" s="672"/>
      <c r="BKM30" s="672"/>
      <c r="BKN30" s="672"/>
      <c r="BKO30" s="672"/>
      <c r="BKP30" s="672"/>
      <c r="BKQ30" s="672"/>
      <c r="BKR30" s="672"/>
      <c r="BKS30" s="672"/>
      <c r="BKT30" s="672"/>
      <c r="BKU30" s="672"/>
      <c r="BKV30" s="672"/>
      <c r="BKW30" s="672"/>
      <c r="BKX30" s="672"/>
      <c r="BKY30" s="672"/>
      <c r="BKZ30" s="672"/>
      <c r="BLA30" s="672"/>
      <c r="BLB30" s="672"/>
      <c r="BLC30" s="672"/>
      <c r="BLD30" s="672"/>
      <c r="BLE30" s="672"/>
      <c r="BLF30" s="672"/>
      <c r="BLG30" s="672"/>
      <c r="BLH30" s="672"/>
      <c r="BLI30" s="672"/>
      <c r="BLJ30" s="672"/>
      <c r="BLK30" s="672"/>
      <c r="BLL30" s="672"/>
      <c r="BLM30" s="672"/>
      <c r="BLN30" s="672"/>
      <c r="BLO30" s="672"/>
      <c r="BLP30" s="672"/>
      <c r="BLQ30" s="672"/>
      <c r="BLR30" s="672"/>
      <c r="BLS30" s="672"/>
      <c r="BLT30" s="672"/>
      <c r="BLU30" s="672"/>
      <c r="BLV30" s="672"/>
      <c r="BLW30" s="672"/>
      <c r="BLX30" s="672"/>
      <c r="BLY30" s="672"/>
      <c r="BLZ30" s="672"/>
      <c r="BMA30" s="672"/>
      <c r="BMB30" s="672"/>
      <c r="BMC30" s="672"/>
      <c r="BMD30" s="672"/>
      <c r="BME30" s="672"/>
      <c r="BMF30" s="672"/>
      <c r="BMG30" s="672"/>
      <c r="BMH30" s="672"/>
      <c r="BMI30" s="672"/>
      <c r="BMJ30" s="672"/>
      <c r="BMK30" s="672"/>
      <c r="BML30" s="672"/>
      <c r="BMM30" s="672"/>
      <c r="BMN30" s="672"/>
      <c r="BMO30" s="672"/>
      <c r="BMP30" s="672"/>
      <c r="BMQ30" s="672"/>
      <c r="BMR30" s="672"/>
      <c r="BMS30" s="672"/>
      <c r="BMT30" s="672"/>
      <c r="BMU30" s="672"/>
      <c r="BMV30" s="672"/>
      <c r="BMW30" s="672"/>
      <c r="BMX30" s="672"/>
      <c r="BMY30" s="672"/>
      <c r="BMZ30" s="672"/>
      <c r="BNA30" s="672"/>
      <c r="BNB30" s="672"/>
      <c r="BNC30" s="672"/>
      <c r="BND30" s="672"/>
      <c r="BNE30" s="672"/>
      <c r="BNF30" s="672"/>
      <c r="BNG30" s="672"/>
      <c r="BNH30" s="672"/>
      <c r="BNI30" s="672"/>
      <c r="BNJ30" s="672"/>
      <c r="BNK30" s="672"/>
      <c r="BNL30" s="672"/>
      <c r="BNM30" s="672"/>
      <c r="BNN30" s="672"/>
      <c r="BNO30" s="672"/>
      <c r="BNP30" s="672"/>
      <c r="BNQ30" s="672"/>
      <c r="BNR30" s="672"/>
      <c r="BNS30" s="672"/>
      <c r="BNT30" s="672"/>
      <c r="BNU30" s="672"/>
      <c r="BNV30" s="672"/>
      <c r="BNW30" s="672"/>
      <c r="BNX30" s="672"/>
      <c r="BNY30" s="672"/>
      <c r="BNZ30" s="672"/>
      <c r="BOA30" s="672"/>
      <c r="BOB30" s="672"/>
      <c r="BOC30" s="672"/>
      <c r="BOD30" s="672"/>
      <c r="BOE30" s="672"/>
      <c r="BOF30" s="672"/>
      <c r="BOG30" s="672"/>
      <c r="BOH30" s="672"/>
      <c r="BOI30" s="672"/>
      <c r="BOJ30" s="672"/>
      <c r="BOK30" s="672"/>
      <c r="BOL30" s="672"/>
      <c r="BOM30" s="672"/>
      <c r="BON30" s="672"/>
      <c r="BOO30" s="672"/>
      <c r="BOP30" s="672"/>
      <c r="BOQ30" s="672"/>
      <c r="BOR30" s="672"/>
      <c r="BOS30" s="672"/>
      <c r="BOT30" s="672"/>
      <c r="BOU30" s="672"/>
      <c r="BOV30" s="672"/>
      <c r="BOW30" s="672"/>
      <c r="BOX30" s="672"/>
      <c r="BOY30" s="672"/>
      <c r="BOZ30" s="672"/>
      <c r="BPA30" s="672"/>
      <c r="BPB30" s="672"/>
      <c r="BPC30" s="672"/>
      <c r="BPD30" s="672"/>
      <c r="BPE30" s="672"/>
      <c r="BPF30" s="672"/>
      <c r="BPG30" s="672"/>
      <c r="BPH30" s="672"/>
      <c r="BPI30" s="672"/>
      <c r="BPJ30" s="672"/>
      <c r="BPK30" s="672"/>
      <c r="BPL30" s="672"/>
      <c r="BPM30" s="672"/>
      <c r="BPN30" s="672"/>
      <c r="BPO30" s="672"/>
      <c r="BPP30" s="672"/>
      <c r="BPQ30" s="672"/>
      <c r="BPR30" s="672"/>
      <c r="BPS30" s="672"/>
      <c r="BPT30" s="672"/>
      <c r="BPU30" s="672"/>
      <c r="BPV30" s="672"/>
      <c r="BPW30" s="672"/>
      <c r="BPX30" s="672"/>
      <c r="BPY30" s="672"/>
      <c r="BPZ30" s="672"/>
      <c r="BQA30" s="672"/>
      <c r="BQB30" s="672"/>
      <c r="BQC30" s="672"/>
      <c r="BQD30" s="672"/>
      <c r="BQE30" s="672"/>
      <c r="BQF30" s="672"/>
      <c r="BQG30" s="672"/>
      <c r="BQH30" s="672"/>
      <c r="BQI30" s="672"/>
      <c r="BQJ30" s="672"/>
      <c r="BQK30" s="672"/>
      <c r="BQL30" s="672"/>
      <c r="BQM30" s="672"/>
      <c r="BQN30" s="672"/>
      <c r="BQO30" s="672"/>
      <c r="BQP30" s="672"/>
      <c r="BQQ30" s="672"/>
      <c r="BQR30" s="672"/>
      <c r="BQS30" s="672"/>
      <c r="BQT30" s="672"/>
      <c r="BQU30" s="672"/>
      <c r="BQV30" s="672"/>
      <c r="BQW30" s="672"/>
      <c r="BQX30" s="672"/>
      <c r="BQY30" s="672"/>
      <c r="BQZ30" s="672"/>
      <c r="BRA30" s="672"/>
      <c r="BRB30" s="672"/>
      <c r="BRC30" s="672"/>
      <c r="BRD30" s="672"/>
      <c r="BRE30" s="672"/>
      <c r="BRF30" s="672"/>
      <c r="BRG30" s="672"/>
      <c r="BRH30" s="672"/>
      <c r="BRI30" s="672"/>
      <c r="BRJ30" s="672"/>
      <c r="BRK30" s="672"/>
      <c r="BRL30" s="672"/>
      <c r="BRM30" s="672"/>
      <c r="BRN30" s="672"/>
      <c r="BRO30" s="672"/>
      <c r="BRP30" s="672"/>
      <c r="BRQ30" s="672"/>
      <c r="BRR30" s="672"/>
      <c r="BRS30" s="672"/>
      <c r="BRT30" s="672"/>
      <c r="BRU30" s="672"/>
      <c r="BRV30" s="672"/>
      <c r="BRW30" s="672"/>
      <c r="BRX30" s="672"/>
      <c r="BRY30" s="672"/>
      <c r="BRZ30" s="672"/>
      <c r="BSA30" s="672"/>
      <c r="BSB30" s="672"/>
      <c r="BSC30" s="672"/>
      <c r="BSD30" s="672"/>
      <c r="BSE30" s="672"/>
      <c r="BSF30" s="672"/>
      <c r="BSG30" s="672"/>
      <c r="BSH30" s="672"/>
      <c r="BSI30" s="672"/>
      <c r="BSJ30" s="672"/>
      <c r="BSK30" s="672"/>
      <c r="BSL30" s="672"/>
      <c r="BSM30" s="672"/>
      <c r="BSN30" s="672"/>
      <c r="BSO30" s="672"/>
      <c r="BSP30" s="672"/>
      <c r="BSQ30" s="672"/>
      <c r="BSR30" s="672"/>
      <c r="BSS30" s="672"/>
      <c r="BST30" s="672"/>
      <c r="BSU30" s="672"/>
      <c r="BSV30" s="672"/>
      <c r="BSW30" s="672"/>
      <c r="BSX30" s="672"/>
      <c r="BSY30" s="672"/>
      <c r="BSZ30" s="672"/>
      <c r="BTA30" s="672"/>
      <c r="BTB30" s="672"/>
      <c r="BTC30" s="672"/>
      <c r="BTD30" s="672"/>
      <c r="BTE30" s="672"/>
      <c r="BTF30" s="672"/>
      <c r="BTG30" s="672"/>
      <c r="BTH30" s="672"/>
      <c r="BTI30" s="672"/>
      <c r="BTJ30" s="672"/>
      <c r="BTK30" s="672"/>
      <c r="BTL30" s="672"/>
      <c r="BTM30" s="672"/>
      <c r="BTN30" s="672"/>
      <c r="BTO30" s="672"/>
      <c r="BTP30" s="672"/>
      <c r="BTQ30" s="672"/>
      <c r="BTR30" s="672"/>
      <c r="BTS30" s="672"/>
      <c r="BTT30" s="672"/>
      <c r="BTU30" s="672"/>
      <c r="BTV30" s="672"/>
      <c r="BTW30" s="672"/>
      <c r="BTX30" s="672"/>
      <c r="BTY30" s="672"/>
      <c r="BTZ30" s="672"/>
      <c r="BUA30" s="672"/>
      <c r="BUB30" s="672"/>
      <c r="BUC30" s="672"/>
      <c r="BUD30" s="672"/>
      <c r="BUE30" s="672"/>
      <c r="BUF30" s="672"/>
      <c r="BUG30" s="672"/>
      <c r="BUH30" s="672"/>
      <c r="BUI30" s="672"/>
      <c r="BUJ30" s="672"/>
      <c r="BUK30" s="672"/>
      <c r="BUL30" s="672"/>
      <c r="BUM30" s="672"/>
      <c r="BUN30" s="672"/>
      <c r="BUO30" s="672"/>
      <c r="BUP30" s="672"/>
      <c r="BUQ30" s="672"/>
      <c r="BUR30" s="672"/>
      <c r="BUS30" s="672"/>
      <c r="BUT30" s="672"/>
      <c r="BUU30" s="672"/>
      <c r="BUV30" s="672"/>
      <c r="BUW30" s="672"/>
      <c r="BUX30" s="672"/>
      <c r="BUY30" s="672"/>
      <c r="BUZ30" s="672"/>
      <c r="BVA30" s="672"/>
      <c r="BVB30" s="672"/>
      <c r="BVC30" s="672"/>
      <c r="BVD30" s="672"/>
      <c r="BVE30" s="672"/>
      <c r="BVF30" s="672"/>
      <c r="BVG30" s="672"/>
      <c r="BVH30" s="672"/>
      <c r="BVI30" s="672"/>
      <c r="BVJ30" s="672"/>
      <c r="BVK30" s="672"/>
      <c r="BVL30" s="672"/>
      <c r="BVM30" s="672"/>
      <c r="BVN30" s="672"/>
      <c r="BVO30" s="672"/>
      <c r="BVP30" s="672"/>
      <c r="BVQ30" s="672"/>
      <c r="BVR30" s="672"/>
      <c r="BVS30" s="672"/>
      <c r="BVT30" s="672"/>
      <c r="BVU30" s="672"/>
      <c r="BVV30" s="672"/>
      <c r="BVW30" s="672"/>
      <c r="BVX30" s="672"/>
      <c r="BVY30" s="672"/>
      <c r="BVZ30" s="672"/>
      <c r="BWA30" s="672"/>
      <c r="BWB30" s="672"/>
      <c r="BWC30" s="672"/>
      <c r="BWD30" s="672"/>
      <c r="BWE30" s="672"/>
      <c r="BWF30" s="672"/>
      <c r="BWG30" s="672"/>
      <c r="BWH30" s="672"/>
      <c r="BWI30" s="672"/>
      <c r="BWJ30" s="672"/>
      <c r="BWK30" s="672"/>
      <c r="BWL30" s="672"/>
      <c r="BWM30" s="672"/>
      <c r="BWN30" s="672"/>
      <c r="BWO30" s="672"/>
      <c r="BWP30" s="672"/>
      <c r="BWQ30" s="672"/>
      <c r="BWR30" s="672"/>
      <c r="BWS30" s="672"/>
      <c r="BWT30" s="672"/>
      <c r="BWU30" s="672"/>
      <c r="BWV30" s="672"/>
      <c r="BWW30" s="672"/>
      <c r="BWX30" s="672"/>
      <c r="BWY30" s="672"/>
      <c r="BWZ30" s="672"/>
      <c r="BXA30" s="672"/>
      <c r="BXB30" s="672"/>
      <c r="BXC30" s="672"/>
      <c r="BXD30" s="672"/>
      <c r="BXE30" s="672"/>
      <c r="BXF30" s="672"/>
      <c r="BXG30" s="672"/>
      <c r="BXH30" s="672"/>
      <c r="BXI30" s="672"/>
      <c r="BXJ30" s="672"/>
      <c r="BXK30" s="672"/>
      <c r="BXL30" s="672"/>
      <c r="BXM30" s="672"/>
      <c r="BXN30" s="672"/>
      <c r="BXO30" s="672"/>
      <c r="BXP30" s="672"/>
      <c r="BXQ30" s="672"/>
      <c r="BXR30" s="672"/>
      <c r="BXS30" s="672"/>
      <c r="BXT30" s="672"/>
      <c r="BXU30" s="672"/>
      <c r="BXV30" s="672"/>
      <c r="BXW30" s="672"/>
      <c r="BXX30" s="672"/>
      <c r="BXY30" s="672"/>
      <c r="BXZ30" s="672"/>
      <c r="BYA30" s="672"/>
      <c r="BYB30" s="672"/>
      <c r="BYC30" s="672"/>
      <c r="BYD30" s="672"/>
      <c r="BYE30" s="672"/>
      <c r="BYF30" s="672"/>
      <c r="BYG30" s="672"/>
      <c r="BYH30" s="672"/>
      <c r="BYI30" s="672"/>
      <c r="BYJ30" s="672"/>
      <c r="BYK30" s="672"/>
      <c r="BYL30" s="672"/>
      <c r="BYM30" s="672"/>
      <c r="BYN30" s="672"/>
      <c r="BYO30" s="672"/>
      <c r="BYP30" s="672"/>
      <c r="BYQ30" s="672"/>
      <c r="BYR30" s="672"/>
      <c r="BYS30" s="672"/>
      <c r="BYT30" s="672"/>
      <c r="BYU30" s="672"/>
      <c r="BYV30" s="672"/>
      <c r="BYW30" s="672"/>
      <c r="BYX30" s="672"/>
      <c r="BYY30" s="672"/>
      <c r="BYZ30" s="672"/>
      <c r="BZA30" s="672"/>
      <c r="BZB30" s="672"/>
      <c r="BZC30" s="672"/>
      <c r="BZD30" s="672"/>
      <c r="BZE30" s="672"/>
      <c r="BZF30" s="672"/>
      <c r="BZG30" s="672"/>
      <c r="BZH30" s="672"/>
      <c r="BZI30" s="672"/>
      <c r="BZJ30" s="672"/>
      <c r="BZK30" s="672"/>
      <c r="BZL30" s="672"/>
      <c r="BZM30" s="672"/>
      <c r="BZN30" s="672"/>
      <c r="BZO30" s="672"/>
      <c r="BZP30" s="672"/>
      <c r="BZQ30" s="672"/>
      <c r="BZR30" s="672"/>
      <c r="BZS30" s="672"/>
      <c r="BZT30" s="672"/>
      <c r="BZU30" s="672"/>
      <c r="BZV30" s="672"/>
      <c r="BZW30" s="672"/>
      <c r="BZX30" s="672"/>
      <c r="BZY30" s="672"/>
      <c r="BZZ30" s="672"/>
      <c r="CAA30" s="672"/>
      <c r="CAB30" s="672"/>
      <c r="CAC30" s="672"/>
      <c r="CAD30" s="672"/>
      <c r="CAE30" s="672"/>
      <c r="CAF30" s="672"/>
      <c r="CAG30" s="672"/>
      <c r="CAH30" s="672"/>
      <c r="CAI30" s="672"/>
      <c r="CAJ30" s="672"/>
      <c r="CAK30" s="672"/>
      <c r="CAL30" s="672"/>
      <c r="CAM30" s="672"/>
      <c r="CAN30" s="672"/>
      <c r="CAO30" s="672"/>
      <c r="CAP30" s="672"/>
      <c r="CAQ30" s="672"/>
      <c r="CAR30" s="672"/>
      <c r="CAS30" s="672"/>
      <c r="CAT30" s="672"/>
      <c r="CAU30" s="672"/>
      <c r="CAV30" s="672"/>
      <c r="CAW30" s="672"/>
      <c r="CAX30" s="672"/>
      <c r="CAY30" s="672"/>
      <c r="CAZ30" s="672"/>
      <c r="CBA30" s="672"/>
      <c r="CBB30" s="672"/>
      <c r="CBC30" s="672"/>
      <c r="CBD30" s="672"/>
      <c r="CBE30" s="672"/>
      <c r="CBF30" s="672"/>
      <c r="CBG30" s="672"/>
      <c r="CBH30" s="672"/>
      <c r="CBI30" s="672"/>
      <c r="CBJ30" s="672"/>
      <c r="CBK30" s="672"/>
      <c r="CBL30" s="672"/>
      <c r="CBM30" s="672"/>
      <c r="CBN30" s="672"/>
      <c r="CBO30" s="672"/>
      <c r="CBP30" s="672"/>
      <c r="CBQ30" s="672"/>
      <c r="CBR30" s="672"/>
      <c r="CBS30" s="672"/>
      <c r="CBT30" s="672"/>
      <c r="CBU30" s="672"/>
      <c r="CBV30" s="672"/>
      <c r="CBW30" s="672"/>
      <c r="CBX30" s="672"/>
      <c r="CBY30" s="672"/>
      <c r="CBZ30" s="672"/>
      <c r="CCA30" s="672"/>
      <c r="CCB30" s="672"/>
      <c r="CCC30" s="672"/>
      <c r="CCD30" s="672"/>
      <c r="CCE30" s="672"/>
      <c r="CCF30" s="672"/>
      <c r="CCG30" s="672"/>
      <c r="CCH30" s="672"/>
      <c r="CCI30" s="672"/>
      <c r="CCJ30" s="672"/>
      <c r="CCK30" s="672"/>
      <c r="CCL30" s="672"/>
      <c r="CCM30" s="672"/>
      <c r="CCN30" s="672"/>
      <c r="CCO30" s="672"/>
      <c r="CCP30" s="672"/>
      <c r="CCQ30" s="672"/>
      <c r="CCR30" s="672"/>
      <c r="CCS30" s="672"/>
      <c r="CCT30" s="672"/>
      <c r="CCU30" s="672"/>
      <c r="CCV30" s="672"/>
      <c r="CCW30" s="672"/>
      <c r="CCX30" s="672"/>
      <c r="CCY30" s="672"/>
      <c r="CCZ30" s="672"/>
      <c r="CDA30" s="672"/>
      <c r="CDB30" s="672"/>
      <c r="CDC30" s="672"/>
      <c r="CDD30" s="672"/>
      <c r="CDE30" s="672"/>
      <c r="CDF30" s="672"/>
      <c r="CDG30" s="672"/>
      <c r="CDH30" s="672"/>
      <c r="CDI30" s="672"/>
      <c r="CDJ30" s="672"/>
      <c r="CDK30" s="672"/>
      <c r="CDL30" s="672"/>
      <c r="CDM30" s="672"/>
      <c r="CDN30" s="672"/>
      <c r="CDO30" s="672"/>
      <c r="CDP30" s="672"/>
      <c r="CDQ30" s="672"/>
      <c r="CDR30" s="672"/>
      <c r="CDS30" s="672"/>
      <c r="CDT30" s="672"/>
      <c r="CDU30" s="672"/>
      <c r="CDV30" s="672"/>
      <c r="CDW30" s="672"/>
      <c r="CDX30" s="672"/>
      <c r="CDY30" s="672"/>
      <c r="CDZ30" s="672"/>
      <c r="CEA30" s="672"/>
      <c r="CEB30" s="672"/>
      <c r="CEC30" s="672"/>
      <c r="CED30" s="672"/>
      <c r="CEE30" s="672"/>
      <c r="CEF30" s="672"/>
      <c r="CEG30" s="672"/>
      <c r="CEH30" s="672"/>
      <c r="CEI30" s="672"/>
      <c r="CEJ30" s="672"/>
      <c r="CEK30" s="672"/>
      <c r="CEL30" s="672"/>
      <c r="CEM30" s="672"/>
      <c r="CEN30" s="672"/>
      <c r="CEO30" s="672"/>
      <c r="CEP30" s="672"/>
      <c r="CEQ30" s="672"/>
      <c r="CER30" s="672"/>
      <c r="CES30" s="672"/>
      <c r="CET30" s="672"/>
      <c r="CEU30" s="672"/>
      <c r="CEV30" s="672"/>
      <c r="CEW30" s="672"/>
      <c r="CEX30" s="672"/>
      <c r="CEY30" s="672"/>
      <c r="CEZ30" s="672"/>
      <c r="CFA30" s="672"/>
      <c r="CFB30" s="672"/>
      <c r="CFC30" s="672"/>
      <c r="CFD30" s="672"/>
      <c r="CFE30" s="672"/>
      <c r="CFF30" s="672"/>
      <c r="CFG30" s="672"/>
      <c r="CFH30" s="672"/>
      <c r="CFI30" s="672"/>
      <c r="CFJ30" s="672"/>
      <c r="CFK30" s="672"/>
      <c r="CFL30" s="672"/>
      <c r="CFM30" s="672"/>
      <c r="CFN30" s="672"/>
      <c r="CFO30" s="672"/>
      <c r="CFP30" s="672"/>
      <c r="CFQ30" s="672"/>
      <c r="CFR30" s="672"/>
      <c r="CFS30" s="672"/>
      <c r="CFT30" s="672"/>
      <c r="CFU30" s="672"/>
      <c r="CFV30" s="672"/>
      <c r="CFW30" s="672"/>
      <c r="CFX30" s="672"/>
      <c r="CFY30" s="672"/>
      <c r="CFZ30" s="672"/>
      <c r="CGA30" s="672"/>
      <c r="CGB30" s="672"/>
      <c r="CGC30" s="672"/>
      <c r="CGD30" s="672"/>
      <c r="CGE30" s="672"/>
      <c r="CGF30" s="672"/>
      <c r="CGG30" s="672"/>
      <c r="CGH30" s="672"/>
      <c r="CGI30" s="672"/>
      <c r="CGJ30" s="672"/>
      <c r="CGK30" s="672"/>
      <c r="CGL30" s="672"/>
      <c r="CGM30" s="672"/>
      <c r="CGN30" s="672"/>
      <c r="CGO30" s="672"/>
      <c r="CGP30" s="672"/>
      <c r="CGQ30" s="672"/>
      <c r="CGR30" s="672"/>
      <c r="CGS30" s="672"/>
      <c r="CGT30" s="672"/>
      <c r="CGU30" s="672"/>
      <c r="CGV30" s="672"/>
      <c r="CGW30" s="672"/>
      <c r="CGX30" s="672"/>
      <c r="CGY30" s="672"/>
      <c r="CGZ30" s="672"/>
      <c r="CHA30" s="672"/>
      <c r="CHB30" s="672"/>
      <c r="CHC30" s="672"/>
      <c r="CHD30" s="672"/>
      <c r="CHE30" s="672"/>
      <c r="CHF30" s="672"/>
      <c r="CHG30" s="672"/>
      <c r="CHH30" s="672"/>
      <c r="CHI30" s="672"/>
      <c r="CHJ30" s="672"/>
      <c r="CHK30" s="672"/>
      <c r="CHL30" s="672"/>
      <c r="CHM30" s="672"/>
      <c r="CHN30" s="672"/>
      <c r="CHO30" s="672"/>
      <c r="CHP30" s="672"/>
      <c r="CHQ30" s="672"/>
      <c r="CHR30" s="672"/>
      <c r="CHS30" s="672"/>
      <c r="CHT30" s="672"/>
      <c r="CHU30" s="672"/>
      <c r="CHV30" s="672"/>
      <c r="CHW30" s="672"/>
      <c r="CHX30" s="672"/>
      <c r="CHY30" s="672"/>
      <c r="CHZ30" s="672"/>
      <c r="CIA30" s="672"/>
      <c r="CIB30" s="672"/>
      <c r="CIC30" s="672"/>
      <c r="CID30" s="672"/>
      <c r="CIE30" s="672"/>
      <c r="CIF30" s="672"/>
      <c r="CIG30" s="672"/>
      <c r="CIH30" s="672"/>
      <c r="CII30" s="672"/>
      <c r="CIJ30" s="672"/>
      <c r="CIK30" s="672"/>
      <c r="CIL30" s="672"/>
      <c r="CIM30" s="672"/>
      <c r="CIN30" s="672"/>
      <c r="CIO30" s="672"/>
      <c r="CIP30" s="672"/>
      <c r="CIQ30" s="672"/>
      <c r="CIR30" s="672"/>
      <c r="CIS30" s="672"/>
      <c r="CIT30" s="672"/>
      <c r="CIU30" s="672"/>
      <c r="CIV30" s="672"/>
      <c r="CIW30" s="672"/>
      <c r="CIX30" s="672"/>
      <c r="CIY30" s="672"/>
      <c r="CIZ30" s="672"/>
      <c r="CJA30" s="672"/>
      <c r="CJB30" s="672"/>
      <c r="CJC30" s="672"/>
      <c r="CJD30" s="672"/>
      <c r="CJE30" s="672"/>
      <c r="CJF30" s="672"/>
      <c r="CJG30" s="672"/>
      <c r="CJH30" s="672"/>
      <c r="CJI30" s="672"/>
      <c r="CJJ30" s="672"/>
      <c r="CJK30" s="672"/>
      <c r="CJL30" s="672"/>
      <c r="CJM30" s="672"/>
      <c r="CJN30" s="672"/>
      <c r="CJO30" s="672"/>
      <c r="CJP30" s="672"/>
      <c r="CJQ30" s="672"/>
      <c r="CJR30" s="672"/>
      <c r="CJS30" s="672"/>
      <c r="CJT30" s="672"/>
      <c r="CJU30" s="672"/>
      <c r="CJV30" s="672"/>
      <c r="CJW30" s="672"/>
      <c r="CJX30" s="672"/>
      <c r="CJY30" s="672"/>
      <c r="CJZ30" s="672"/>
      <c r="CKA30" s="672"/>
      <c r="CKB30" s="672"/>
      <c r="CKC30" s="672"/>
      <c r="CKD30" s="672"/>
      <c r="CKE30" s="672"/>
      <c r="CKF30" s="672"/>
      <c r="CKG30" s="672"/>
      <c r="CKH30" s="672"/>
      <c r="CKI30" s="672"/>
      <c r="CKJ30" s="672"/>
      <c r="CKK30" s="672"/>
      <c r="CKL30" s="672"/>
      <c r="CKM30" s="672"/>
      <c r="CKN30" s="672"/>
      <c r="CKO30" s="672"/>
      <c r="CKP30" s="672"/>
      <c r="CKQ30" s="672"/>
      <c r="CKR30" s="672"/>
      <c r="CKS30" s="672"/>
      <c r="CKT30" s="672"/>
      <c r="CKU30" s="672"/>
      <c r="CKV30" s="672"/>
      <c r="CKW30" s="672"/>
      <c r="CKX30" s="672"/>
      <c r="CKY30" s="672"/>
      <c r="CKZ30" s="672"/>
      <c r="CLA30" s="672"/>
      <c r="CLB30" s="672"/>
      <c r="CLC30" s="672"/>
      <c r="CLD30" s="672"/>
      <c r="CLE30" s="672"/>
      <c r="CLF30" s="672"/>
      <c r="CLG30" s="672"/>
      <c r="CLH30" s="672"/>
      <c r="CLI30" s="672"/>
      <c r="CLJ30" s="672"/>
      <c r="CLK30" s="672"/>
      <c r="CLL30" s="672"/>
      <c r="CLM30" s="672"/>
      <c r="CLN30" s="672"/>
      <c r="CLO30" s="672"/>
      <c r="CLP30" s="672"/>
      <c r="CLQ30" s="672"/>
      <c r="CLR30" s="672"/>
      <c r="CLS30" s="672"/>
      <c r="CLT30" s="672"/>
      <c r="CLU30" s="672"/>
      <c r="CLV30" s="672"/>
      <c r="CLW30" s="672"/>
      <c r="CLX30" s="672"/>
      <c r="CLY30" s="672"/>
      <c r="CLZ30" s="672"/>
      <c r="CMA30" s="672"/>
      <c r="CMB30" s="672"/>
      <c r="CMC30" s="672"/>
      <c r="CMD30" s="672"/>
      <c r="CME30" s="672"/>
      <c r="CMF30" s="672"/>
      <c r="CMG30" s="672"/>
      <c r="CMH30" s="672"/>
      <c r="CMI30" s="672"/>
      <c r="CMJ30" s="672"/>
      <c r="CMK30" s="672"/>
      <c r="CML30" s="672"/>
      <c r="CMM30" s="672"/>
      <c r="CMN30" s="672"/>
      <c r="CMO30" s="672"/>
      <c r="CMP30" s="672"/>
      <c r="CMQ30" s="672"/>
      <c r="CMR30" s="672"/>
      <c r="CMS30" s="672"/>
      <c r="CMT30" s="672"/>
      <c r="CMU30" s="672"/>
      <c r="CMV30" s="672"/>
      <c r="CMW30" s="672"/>
      <c r="CMX30" s="672"/>
      <c r="CMY30" s="672"/>
      <c r="CMZ30" s="672"/>
      <c r="CNA30" s="672"/>
      <c r="CNB30" s="672"/>
      <c r="CNC30" s="672"/>
      <c r="CND30" s="672"/>
      <c r="CNE30" s="672"/>
      <c r="CNF30" s="672"/>
      <c r="CNG30" s="672"/>
      <c r="CNH30" s="672"/>
      <c r="CNI30" s="672"/>
      <c r="CNJ30" s="672"/>
      <c r="CNK30" s="672"/>
      <c r="CNL30" s="672"/>
      <c r="CNM30" s="672"/>
      <c r="CNN30" s="672"/>
      <c r="CNO30" s="672"/>
      <c r="CNP30" s="672"/>
      <c r="CNQ30" s="672"/>
      <c r="CNR30" s="672"/>
      <c r="CNS30" s="672"/>
      <c r="CNT30" s="672"/>
      <c r="CNU30" s="672"/>
      <c r="CNV30" s="672"/>
      <c r="CNW30" s="672"/>
      <c r="CNX30" s="672"/>
      <c r="CNY30" s="672"/>
      <c r="CNZ30" s="672"/>
      <c r="COA30" s="672"/>
      <c r="COB30" s="672"/>
      <c r="COC30" s="672"/>
      <c r="COD30" s="672"/>
      <c r="COE30" s="672"/>
      <c r="COF30" s="672"/>
      <c r="COG30" s="672"/>
      <c r="COH30" s="672"/>
      <c r="COI30" s="672"/>
      <c r="COJ30" s="672"/>
      <c r="COK30" s="672"/>
      <c r="COL30" s="672"/>
      <c r="COM30" s="672"/>
      <c r="CON30" s="672"/>
      <c r="COO30" s="672"/>
      <c r="COP30" s="672"/>
      <c r="COQ30" s="672"/>
      <c r="COR30" s="672"/>
      <c r="COS30" s="672"/>
      <c r="COT30" s="672"/>
      <c r="COU30" s="672"/>
      <c r="COV30" s="672"/>
      <c r="COW30" s="672"/>
      <c r="COX30" s="672"/>
      <c r="COY30" s="672"/>
      <c r="COZ30" s="672"/>
      <c r="CPA30" s="672"/>
      <c r="CPB30" s="672"/>
      <c r="CPC30" s="672"/>
      <c r="CPD30" s="672"/>
      <c r="CPE30" s="672"/>
      <c r="CPF30" s="672"/>
      <c r="CPG30" s="672"/>
      <c r="CPH30" s="672"/>
      <c r="CPI30" s="672"/>
      <c r="CPJ30" s="672"/>
      <c r="CPK30" s="672"/>
      <c r="CPL30" s="672"/>
      <c r="CPM30" s="672"/>
      <c r="CPN30" s="672"/>
      <c r="CPO30" s="672"/>
      <c r="CPP30" s="672"/>
      <c r="CPQ30" s="672"/>
      <c r="CPR30" s="672"/>
      <c r="CPS30" s="672"/>
      <c r="CPT30" s="672"/>
      <c r="CPU30" s="672"/>
      <c r="CPV30" s="672"/>
      <c r="CPW30" s="672"/>
      <c r="CPX30" s="672"/>
      <c r="CPY30" s="672"/>
      <c r="CPZ30" s="672"/>
      <c r="CQA30" s="672"/>
      <c r="CQB30" s="672"/>
      <c r="CQC30" s="672"/>
      <c r="CQD30" s="672"/>
      <c r="CQE30" s="672"/>
      <c r="CQF30" s="672"/>
      <c r="CQG30" s="672"/>
      <c r="CQH30" s="672"/>
      <c r="CQI30" s="672"/>
      <c r="CQJ30" s="672"/>
      <c r="CQK30" s="672"/>
      <c r="CQL30" s="672"/>
      <c r="CQM30" s="672"/>
      <c r="CQN30" s="672"/>
      <c r="CQO30" s="672"/>
      <c r="CQP30" s="672"/>
      <c r="CQQ30" s="672"/>
      <c r="CQR30" s="672"/>
      <c r="CQS30" s="672"/>
      <c r="CQT30" s="672"/>
      <c r="CQU30" s="672"/>
      <c r="CQV30" s="672"/>
      <c r="CQW30" s="672"/>
      <c r="CQX30" s="672"/>
      <c r="CQY30" s="672"/>
      <c r="CQZ30" s="672"/>
      <c r="CRA30" s="672"/>
      <c r="CRB30" s="672"/>
      <c r="CRC30" s="672"/>
      <c r="CRD30" s="672"/>
      <c r="CRE30" s="672"/>
      <c r="CRF30" s="672"/>
      <c r="CRG30" s="672"/>
      <c r="CRH30" s="672"/>
      <c r="CRI30" s="672"/>
      <c r="CRJ30" s="672"/>
      <c r="CRK30" s="672"/>
      <c r="CRL30" s="672"/>
      <c r="CRM30" s="672"/>
      <c r="CRN30" s="672"/>
      <c r="CRO30" s="672"/>
      <c r="CRP30" s="672"/>
      <c r="CRQ30" s="672"/>
      <c r="CRR30" s="672"/>
      <c r="CRS30" s="672"/>
      <c r="CRT30" s="672"/>
      <c r="CRU30" s="672"/>
      <c r="CRV30" s="672"/>
      <c r="CRW30" s="672"/>
      <c r="CRX30" s="672"/>
      <c r="CRY30" s="672"/>
      <c r="CRZ30" s="672"/>
      <c r="CSA30" s="672"/>
      <c r="CSB30" s="672"/>
      <c r="CSC30" s="672"/>
      <c r="CSD30" s="672"/>
      <c r="CSE30" s="672"/>
      <c r="CSF30" s="672"/>
      <c r="CSG30" s="672"/>
      <c r="CSH30" s="672"/>
      <c r="CSI30" s="672"/>
      <c r="CSJ30" s="672"/>
      <c r="CSK30" s="672"/>
      <c r="CSL30" s="672"/>
      <c r="CSM30" s="672"/>
      <c r="CSN30" s="672"/>
      <c r="CSO30" s="672"/>
      <c r="CSP30" s="672"/>
      <c r="CSQ30" s="672"/>
      <c r="CSR30" s="672"/>
      <c r="CSS30" s="672"/>
      <c r="CST30" s="672"/>
      <c r="CSU30" s="672"/>
      <c r="CSV30" s="672"/>
      <c r="CSW30" s="672"/>
      <c r="CSX30" s="672"/>
      <c r="CSY30" s="672"/>
      <c r="CSZ30" s="672"/>
      <c r="CTA30" s="672"/>
      <c r="CTB30" s="672"/>
      <c r="CTC30" s="672"/>
      <c r="CTD30" s="672"/>
      <c r="CTE30" s="672"/>
      <c r="CTF30" s="672"/>
      <c r="CTG30" s="672"/>
      <c r="CTH30" s="672"/>
      <c r="CTI30" s="672"/>
      <c r="CTJ30" s="672"/>
      <c r="CTK30" s="672"/>
      <c r="CTL30" s="672"/>
      <c r="CTM30" s="672"/>
      <c r="CTN30" s="672"/>
      <c r="CTO30" s="672"/>
      <c r="CTP30" s="672"/>
      <c r="CTQ30" s="672"/>
      <c r="CTR30" s="672"/>
      <c r="CTS30" s="672"/>
      <c r="CTT30" s="672"/>
      <c r="CTU30" s="672"/>
      <c r="CTV30" s="672"/>
      <c r="CTW30" s="672"/>
      <c r="CTX30" s="672"/>
      <c r="CTY30" s="672"/>
      <c r="CTZ30" s="672"/>
      <c r="CUA30" s="672"/>
      <c r="CUB30" s="672"/>
      <c r="CUC30" s="672"/>
      <c r="CUD30" s="672"/>
      <c r="CUE30" s="672"/>
      <c r="CUF30" s="672"/>
      <c r="CUG30" s="672"/>
      <c r="CUH30" s="672"/>
      <c r="CUI30" s="672"/>
      <c r="CUJ30" s="672"/>
      <c r="CUK30" s="672"/>
      <c r="CUL30" s="672"/>
      <c r="CUM30" s="672"/>
      <c r="CUN30" s="672"/>
      <c r="CUO30" s="672"/>
      <c r="CUP30" s="672"/>
      <c r="CUQ30" s="672"/>
      <c r="CUR30" s="672"/>
      <c r="CUS30" s="672"/>
      <c r="CUT30" s="672"/>
      <c r="CUU30" s="672"/>
      <c r="CUV30" s="672"/>
      <c r="CUW30" s="672"/>
      <c r="CUX30" s="672"/>
      <c r="CUY30" s="672"/>
      <c r="CUZ30" s="672"/>
      <c r="CVA30" s="672"/>
      <c r="CVB30" s="672"/>
      <c r="CVC30" s="672"/>
      <c r="CVD30" s="672"/>
      <c r="CVE30" s="672"/>
      <c r="CVF30" s="672"/>
      <c r="CVG30" s="672"/>
      <c r="CVH30" s="672"/>
      <c r="CVI30" s="672"/>
      <c r="CVJ30" s="672"/>
      <c r="CVK30" s="672"/>
      <c r="CVL30" s="672"/>
      <c r="CVM30" s="672"/>
      <c r="CVN30" s="672"/>
      <c r="CVO30" s="672"/>
      <c r="CVP30" s="672"/>
      <c r="CVQ30" s="672"/>
      <c r="CVR30" s="672"/>
      <c r="CVS30" s="672"/>
      <c r="CVT30" s="672"/>
      <c r="CVU30" s="672"/>
      <c r="CVV30" s="672"/>
      <c r="CVW30" s="672"/>
      <c r="CVX30" s="672"/>
      <c r="CVY30" s="672"/>
      <c r="CVZ30" s="672"/>
      <c r="CWA30" s="672"/>
      <c r="CWB30" s="672"/>
      <c r="CWC30" s="672"/>
      <c r="CWD30" s="672"/>
      <c r="CWE30" s="672"/>
      <c r="CWF30" s="672"/>
      <c r="CWG30" s="672"/>
      <c r="CWH30" s="672"/>
      <c r="CWI30" s="672"/>
      <c r="CWJ30" s="672"/>
      <c r="CWK30" s="672"/>
      <c r="CWL30" s="672"/>
      <c r="CWM30" s="672"/>
      <c r="CWN30" s="672"/>
      <c r="CWO30" s="672"/>
      <c r="CWP30" s="672"/>
      <c r="CWQ30" s="672"/>
      <c r="CWR30" s="672"/>
      <c r="CWS30" s="672"/>
      <c r="CWT30" s="672"/>
      <c r="CWU30" s="672"/>
      <c r="CWV30" s="672"/>
      <c r="CWW30" s="672"/>
      <c r="CWX30" s="672"/>
      <c r="CWY30" s="672"/>
      <c r="CWZ30" s="672"/>
      <c r="CXA30" s="672"/>
      <c r="CXB30" s="672"/>
      <c r="CXC30" s="672"/>
      <c r="CXD30" s="672"/>
      <c r="CXE30" s="672"/>
      <c r="CXF30" s="672"/>
      <c r="CXG30" s="672"/>
      <c r="CXH30" s="672"/>
      <c r="CXI30" s="672"/>
      <c r="CXJ30" s="672"/>
      <c r="CXK30" s="672"/>
      <c r="CXL30" s="672"/>
      <c r="CXM30" s="672"/>
      <c r="CXN30" s="672"/>
      <c r="CXO30" s="672"/>
      <c r="CXP30" s="672"/>
      <c r="CXQ30" s="672"/>
      <c r="CXR30" s="672"/>
      <c r="CXS30" s="672"/>
      <c r="CXT30" s="672"/>
      <c r="CXU30" s="672"/>
      <c r="CXV30" s="672"/>
      <c r="CXW30" s="672"/>
      <c r="CXX30" s="672"/>
      <c r="CXY30" s="672"/>
      <c r="CXZ30" s="672"/>
      <c r="CYA30" s="672"/>
      <c r="CYB30" s="672"/>
      <c r="CYC30" s="672"/>
      <c r="CYD30" s="672"/>
      <c r="CYE30" s="672"/>
      <c r="CYF30" s="672"/>
      <c r="CYG30" s="672"/>
      <c r="CYH30" s="672"/>
      <c r="CYI30" s="672"/>
      <c r="CYJ30" s="672"/>
      <c r="CYK30" s="672"/>
      <c r="CYL30" s="672"/>
      <c r="CYM30" s="672"/>
      <c r="CYN30" s="672"/>
      <c r="CYO30" s="672"/>
      <c r="CYP30" s="672"/>
      <c r="CYQ30" s="672"/>
      <c r="CYR30" s="672"/>
      <c r="CYS30" s="672"/>
      <c r="CYT30" s="672"/>
      <c r="CYU30" s="672"/>
      <c r="CYV30" s="672"/>
      <c r="CYW30" s="672"/>
      <c r="CYX30" s="672"/>
      <c r="CYY30" s="672"/>
      <c r="CYZ30" s="672"/>
      <c r="CZA30" s="672"/>
      <c r="CZB30" s="672"/>
      <c r="CZC30" s="672"/>
      <c r="CZD30" s="672"/>
      <c r="CZE30" s="672"/>
      <c r="CZF30" s="672"/>
      <c r="CZG30" s="672"/>
      <c r="CZH30" s="672"/>
      <c r="CZI30" s="672"/>
      <c r="CZJ30" s="672"/>
      <c r="CZK30" s="672"/>
      <c r="CZL30" s="672"/>
      <c r="CZM30" s="672"/>
      <c r="CZN30" s="672"/>
      <c r="CZO30" s="672"/>
      <c r="CZP30" s="672"/>
      <c r="CZQ30" s="672"/>
      <c r="CZR30" s="672"/>
      <c r="CZS30" s="672"/>
      <c r="CZT30" s="672"/>
      <c r="CZU30" s="672"/>
      <c r="CZV30" s="672"/>
      <c r="CZW30" s="672"/>
      <c r="CZX30" s="672"/>
      <c r="CZY30" s="672"/>
      <c r="CZZ30" s="672"/>
      <c r="DAA30" s="672"/>
      <c r="DAB30" s="672"/>
      <c r="DAC30" s="672"/>
      <c r="DAD30" s="672"/>
      <c r="DAE30" s="672"/>
      <c r="DAF30" s="672"/>
      <c r="DAG30" s="672"/>
      <c r="DAH30" s="672"/>
      <c r="DAI30" s="672"/>
      <c r="DAJ30" s="672"/>
      <c r="DAK30" s="672"/>
      <c r="DAL30" s="672"/>
      <c r="DAM30" s="672"/>
      <c r="DAN30" s="672"/>
      <c r="DAO30" s="672"/>
      <c r="DAP30" s="672"/>
      <c r="DAQ30" s="672"/>
      <c r="DAR30" s="672"/>
      <c r="DAS30" s="672"/>
      <c r="DAT30" s="672"/>
      <c r="DAU30" s="672"/>
      <c r="DAV30" s="672"/>
      <c r="DAW30" s="672"/>
      <c r="DAX30" s="672"/>
      <c r="DAY30" s="672"/>
      <c r="DAZ30" s="672"/>
      <c r="DBA30" s="672"/>
      <c r="DBB30" s="672"/>
      <c r="DBC30" s="672"/>
      <c r="DBD30" s="672"/>
      <c r="DBE30" s="672"/>
      <c r="DBF30" s="672"/>
      <c r="DBG30" s="672"/>
      <c r="DBH30" s="672"/>
      <c r="DBI30" s="672"/>
      <c r="DBJ30" s="672"/>
      <c r="DBK30" s="672"/>
      <c r="DBL30" s="672"/>
      <c r="DBM30" s="672"/>
      <c r="DBN30" s="672"/>
      <c r="DBO30" s="672"/>
      <c r="DBP30" s="672"/>
      <c r="DBQ30" s="672"/>
      <c r="DBR30" s="672"/>
      <c r="DBS30" s="672"/>
      <c r="DBT30" s="672"/>
      <c r="DBU30" s="672"/>
      <c r="DBV30" s="672"/>
      <c r="DBW30" s="672"/>
      <c r="DBX30" s="672"/>
      <c r="DBY30" s="672"/>
      <c r="DBZ30" s="672"/>
      <c r="DCA30" s="672"/>
      <c r="DCB30" s="672"/>
      <c r="DCC30" s="672"/>
      <c r="DCD30" s="672"/>
      <c r="DCE30" s="672"/>
      <c r="DCF30" s="672"/>
      <c r="DCG30" s="672"/>
      <c r="DCH30" s="672"/>
      <c r="DCI30" s="672"/>
      <c r="DCJ30" s="672"/>
      <c r="DCK30" s="672"/>
      <c r="DCL30" s="672"/>
      <c r="DCM30" s="672"/>
      <c r="DCN30" s="672"/>
      <c r="DCO30" s="672"/>
      <c r="DCP30" s="672"/>
      <c r="DCQ30" s="672"/>
      <c r="DCR30" s="672"/>
      <c r="DCS30" s="672"/>
      <c r="DCT30" s="672"/>
      <c r="DCU30" s="672"/>
      <c r="DCV30" s="672"/>
      <c r="DCW30" s="672"/>
      <c r="DCX30" s="672"/>
      <c r="DCY30" s="672"/>
      <c r="DCZ30" s="672"/>
      <c r="DDA30" s="672"/>
      <c r="DDB30" s="672"/>
      <c r="DDC30" s="672"/>
      <c r="DDD30" s="672"/>
      <c r="DDE30" s="672"/>
      <c r="DDF30" s="672"/>
      <c r="DDG30" s="672"/>
      <c r="DDH30" s="672"/>
      <c r="DDI30" s="672"/>
      <c r="DDJ30" s="672"/>
      <c r="DDK30" s="672"/>
      <c r="DDL30" s="672"/>
      <c r="DDM30" s="672"/>
      <c r="DDN30" s="672"/>
      <c r="DDO30" s="672"/>
      <c r="DDP30" s="672"/>
      <c r="DDQ30" s="672"/>
      <c r="DDR30" s="672"/>
      <c r="DDS30" s="672"/>
      <c r="DDT30" s="672"/>
      <c r="DDU30" s="672"/>
      <c r="DDV30" s="672"/>
      <c r="DDW30" s="672"/>
      <c r="DDX30" s="672"/>
      <c r="DDY30" s="672"/>
      <c r="DDZ30" s="672"/>
      <c r="DEA30" s="672"/>
      <c r="DEB30" s="672"/>
      <c r="DEC30" s="672"/>
      <c r="DED30" s="672"/>
      <c r="DEE30" s="672"/>
      <c r="DEF30" s="672"/>
      <c r="DEG30" s="672"/>
      <c r="DEH30" s="672"/>
      <c r="DEI30" s="672"/>
      <c r="DEJ30" s="672"/>
      <c r="DEK30" s="672"/>
      <c r="DEL30" s="672"/>
      <c r="DEM30" s="672"/>
      <c r="DEN30" s="672"/>
      <c r="DEO30" s="672"/>
      <c r="DEP30" s="672"/>
      <c r="DEQ30" s="672"/>
      <c r="DER30" s="672"/>
      <c r="DES30" s="672"/>
      <c r="DET30" s="672"/>
      <c r="DEU30" s="672"/>
      <c r="DEV30" s="672"/>
      <c r="DEW30" s="672"/>
      <c r="DEX30" s="672"/>
      <c r="DEY30" s="672"/>
      <c r="DEZ30" s="672"/>
      <c r="DFA30" s="672"/>
      <c r="DFB30" s="672"/>
      <c r="DFC30" s="672"/>
      <c r="DFD30" s="672"/>
      <c r="DFE30" s="672"/>
      <c r="DFF30" s="672"/>
      <c r="DFG30" s="672"/>
      <c r="DFH30" s="672"/>
      <c r="DFI30" s="672"/>
      <c r="DFJ30" s="672"/>
      <c r="DFK30" s="672"/>
      <c r="DFL30" s="672"/>
      <c r="DFM30" s="672"/>
      <c r="DFN30" s="672"/>
      <c r="DFO30" s="672"/>
      <c r="DFP30" s="672"/>
      <c r="DFQ30" s="672"/>
      <c r="DFR30" s="672"/>
      <c r="DFS30" s="672"/>
      <c r="DFT30" s="672"/>
      <c r="DFU30" s="672"/>
      <c r="DFV30" s="672"/>
      <c r="DFW30" s="672"/>
      <c r="DFX30" s="672"/>
      <c r="DFY30" s="672"/>
      <c r="DFZ30" s="672"/>
      <c r="DGA30" s="672"/>
      <c r="DGB30" s="672"/>
      <c r="DGC30" s="672"/>
      <c r="DGD30" s="672"/>
      <c r="DGE30" s="672"/>
      <c r="DGF30" s="672"/>
      <c r="DGG30" s="672"/>
      <c r="DGH30" s="672"/>
      <c r="DGI30" s="672"/>
      <c r="DGJ30" s="672"/>
      <c r="DGK30" s="672"/>
      <c r="DGL30" s="672"/>
      <c r="DGM30" s="672"/>
      <c r="DGN30" s="672"/>
      <c r="DGO30" s="672"/>
      <c r="DGP30" s="672"/>
      <c r="DGQ30" s="672"/>
      <c r="DGR30" s="672"/>
      <c r="DGS30" s="672"/>
      <c r="DGT30" s="672"/>
      <c r="DGU30" s="672"/>
      <c r="DGV30" s="672"/>
      <c r="DGW30" s="672"/>
      <c r="DGX30" s="672"/>
      <c r="DGY30" s="672"/>
      <c r="DGZ30" s="672"/>
      <c r="DHA30" s="672"/>
      <c r="DHB30" s="672"/>
      <c r="DHC30" s="672"/>
      <c r="DHD30" s="672"/>
      <c r="DHE30" s="672"/>
      <c r="DHF30" s="672"/>
      <c r="DHG30" s="672"/>
      <c r="DHH30" s="672"/>
      <c r="DHI30" s="672"/>
      <c r="DHJ30" s="672"/>
      <c r="DHK30" s="672"/>
      <c r="DHL30" s="672"/>
      <c r="DHM30" s="672"/>
      <c r="DHN30" s="672"/>
      <c r="DHO30" s="672"/>
      <c r="DHP30" s="672"/>
      <c r="DHQ30" s="672"/>
      <c r="DHR30" s="672"/>
      <c r="DHS30" s="672"/>
      <c r="DHT30" s="672"/>
      <c r="DHU30" s="672"/>
      <c r="DHV30" s="672"/>
      <c r="DHW30" s="672"/>
      <c r="DHX30" s="672"/>
      <c r="DHY30" s="672"/>
      <c r="DHZ30" s="672"/>
      <c r="DIA30" s="672"/>
      <c r="DIB30" s="672"/>
      <c r="DIC30" s="672"/>
      <c r="DID30" s="672"/>
      <c r="DIE30" s="672"/>
      <c r="DIF30" s="672"/>
      <c r="DIG30" s="672"/>
      <c r="DIH30" s="672"/>
      <c r="DII30" s="672"/>
      <c r="DIJ30" s="672"/>
      <c r="DIK30" s="672"/>
      <c r="DIL30" s="672"/>
      <c r="DIM30" s="672"/>
      <c r="DIN30" s="672"/>
      <c r="DIO30" s="672"/>
      <c r="DIP30" s="672"/>
      <c r="DIQ30" s="672"/>
      <c r="DIR30" s="672"/>
      <c r="DIS30" s="672"/>
      <c r="DIT30" s="672"/>
      <c r="DIU30" s="672"/>
      <c r="DIV30" s="672"/>
      <c r="DIW30" s="672"/>
      <c r="DIX30" s="672"/>
      <c r="DIY30" s="672"/>
      <c r="DIZ30" s="672"/>
      <c r="DJA30" s="672"/>
      <c r="DJB30" s="672"/>
      <c r="DJC30" s="672"/>
      <c r="DJD30" s="672"/>
      <c r="DJE30" s="672"/>
      <c r="DJF30" s="672"/>
      <c r="DJG30" s="672"/>
      <c r="DJH30" s="672"/>
      <c r="DJI30" s="672"/>
      <c r="DJJ30" s="672"/>
      <c r="DJK30" s="672"/>
      <c r="DJL30" s="672"/>
      <c r="DJM30" s="672"/>
      <c r="DJN30" s="672"/>
      <c r="DJO30" s="672"/>
      <c r="DJP30" s="672"/>
      <c r="DJQ30" s="672"/>
      <c r="DJR30" s="672"/>
      <c r="DJS30" s="672"/>
      <c r="DJT30" s="672"/>
      <c r="DJU30" s="672"/>
      <c r="DJV30" s="672"/>
      <c r="DJW30" s="672"/>
      <c r="DJX30" s="672"/>
      <c r="DJY30" s="672"/>
      <c r="DJZ30" s="672"/>
      <c r="DKA30" s="672"/>
      <c r="DKB30" s="672"/>
      <c r="DKC30" s="672"/>
      <c r="DKD30" s="672"/>
      <c r="DKE30" s="672"/>
      <c r="DKF30" s="672"/>
      <c r="DKG30" s="672"/>
      <c r="DKH30" s="672"/>
      <c r="DKI30" s="672"/>
      <c r="DKJ30" s="672"/>
      <c r="DKK30" s="672"/>
      <c r="DKL30" s="672"/>
      <c r="DKM30" s="672"/>
      <c r="DKN30" s="672"/>
      <c r="DKO30" s="672"/>
      <c r="DKP30" s="672"/>
      <c r="DKQ30" s="672"/>
      <c r="DKR30" s="672"/>
      <c r="DKS30" s="672"/>
      <c r="DKT30" s="672"/>
      <c r="DKU30" s="672"/>
      <c r="DKV30" s="672"/>
      <c r="DKW30" s="672"/>
      <c r="DKX30" s="672"/>
      <c r="DKY30" s="672"/>
      <c r="DKZ30" s="672"/>
      <c r="DLA30" s="672"/>
      <c r="DLB30" s="672"/>
      <c r="DLC30" s="672"/>
      <c r="DLD30" s="672"/>
      <c r="DLE30" s="672"/>
      <c r="DLF30" s="672"/>
      <c r="DLG30" s="672"/>
      <c r="DLH30" s="672"/>
      <c r="DLI30" s="672"/>
      <c r="DLJ30" s="672"/>
      <c r="DLK30" s="672"/>
      <c r="DLL30" s="672"/>
      <c r="DLM30" s="672"/>
      <c r="DLN30" s="672"/>
      <c r="DLO30" s="672"/>
      <c r="DLP30" s="672"/>
      <c r="DLQ30" s="672"/>
      <c r="DLR30" s="672"/>
      <c r="DLS30" s="672"/>
      <c r="DLT30" s="672"/>
      <c r="DLU30" s="672"/>
      <c r="DLV30" s="672"/>
      <c r="DLW30" s="672"/>
      <c r="DLX30" s="672"/>
      <c r="DLY30" s="672"/>
      <c r="DLZ30" s="672"/>
      <c r="DMA30" s="672"/>
      <c r="DMB30" s="672"/>
      <c r="DMC30" s="672"/>
      <c r="DMD30" s="672"/>
      <c r="DME30" s="672"/>
      <c r="DMF30" s="672"/>
      <c r="DMG30" s="672"/>
      <c r="DMH30" s="672"/>
      <c r="DMI30" s="672"/>
      <c r="DMJ30" s="672"/>
      <c r="DMK30" s="672"/>
      <c r="DML30" s="672"/>
      <c r="DMM30" s="672"/>
      <c r="DMN30" s="672"/>
      <c r="DMO30" s="672"/>
      <c r="DMP30" s="672"/>
      <c r="DMQ30" s="672"/>
      <c r="DMR30" s="672"/>
      <c r="DMS30" s="672"/>
      <c r="DMT30" s="672"/>
      <c r="DMU30" s="672"/>
      <c r="DMV30" s="672"/>
      <c r="DMW30" s="672"/>
      <c r="DMX30" s="672"/>
      <c r="DMY30" s="672"/>
      <c r="DMZ30" s="672"/>
      <c r="DNA30" s="672"/>
      <c r="DNB30" s="672"/>
      <c r="DNC30" s="672"/>
      <c r="DND30" s="672"/>
      <c r="DNE30" s="672"/>
      <c r="DNF30" s="672"/>
      <c r="DNG30" s="672"/>
      <c r="DNH30" s="672"/>
      <c r="DNI30" s="672"/>
      <c r="DNJ30" s="672"/>
      <c r="DNK30" s="672"/>
      <c r="DNL30" s="672"/>
      <c r="DNM30" s="672"/>
      <c r="DNN30" s="672"/>
      <c r="DNO30" s="672"/>
      <c r="DNP30" s="672"/>
      <c r="DNQ30" s="672"/>
      <c r="DNR30" s="672"/>
      <c r="DNS30" s="672"/>
      <c r="DNT30" s="672"/>
      <c r="DNU30" s="672"/>
      <c r="DNV30" s="672"/>
      <c r="DNW30" s="672"/>
      <c r="DNX30" s="672"/>
      <c r="DNY30" s="672"/>
      <c r="DNZ30" s="672"/>
      <c r="DOA30" s="672"/>
      <c r="DOB30" s="672"/>
      <c r="DOC30" s="672"/>
      <c r="DOD30" s="672"/>
      <c r="DOE30" s="672"/>
      <c r="DOF30" s="672"/>
      <c r="DOG30" s="672"/>
      <c r="DOH30" s="672"/>
      <c r="DOI30" s="672"/>
      <c r="DOJ30" s="672"/>
      <c r="DOK30" s="672"/>
      <c r="DOL30" s="672"/>
      <c r="DOM30" s="672"/>
      <c r="DON30" s="672"/>
      <c r="DOO30" s="672"/>
      <c r="DOP30" s="672"/>
      <c r="DOQ30" s="672"/>
      <c r="DOR30" s="672"/>
      <c r="DOS30" s="672"/>
      <c r="DOT30" s="672"/>
      <c r="DOU30" s="672"/>
      <c r="DOV30" s="672"/>
      <c r="DOW30" s="672"/>
      <c r="DOX30" s="672"/>
      <c r="DOY30" s="672"/>
      <c r="DOZ30" s="672"/>
      <c r="DPA30" s="672"/>
      <c r="DPB30" s="672"/>
      <c r="DPC30" s="672"/>
      <c r="DPD30" s="672"/>
      <c r="DPE30" s="672"/>
      <c r="DPF30" s="672"/>
      <c r="DPG30" s="672"/>
      <c r="DPH30" s="672"/>
      <c r="DPI30" s="672"/>
      <c r="DPJ30" s="672"/>
      <c r="DPK30" s="672"/>
      <c r="DPL30" s="672"/>
      <c r="DPM30" s="672"/>
      <c r="DPN30" s="672"/>
      <c r="DPO30" s="672"/>
      <c r="DPP30" s="672"/>
      <c r="DPQ30" s="672"/>
      <c r="DPR30" s="672"/>
      <c r="DPS30" s="672"/>
      <c r="DPT30" s="672"/>
      <c r="DPU30" s="672"/>
      <c r="DPV30" s="672"/>
      <c r="DPW30" s="672"/>
      <c r="DPX30" s="672"/>
      <c r="DPY30" s="672"/>
      <c r="DPZ30" s="672"/>
      <c r="DQA30" s="672"/>
      <c r="DQB30" s="672"/>
      <c r="DQC30" s="672"/>
      <c r="DQD30" s="672"/>
      <c r="DQE30" s="672"/>
      <c r="DQF30" s="672"/>
      <c r="DQG30" s="672"/>
      <c r="DQH30" s="672"/>
      <c r="DQI30" s="672"/>
      <c r="DQJ30" s="672"/>
      <c r="DQK30" s="672"/>
      <c r="DQL30" s="672"/>
      <c r="DQM30" s="672"/>
      <c r="DQN30" s="672"/>
      <c r="DQO30" s="672"/>
      <c r="DQP30" s="672"/>
      <c r="DQQ30" s="672"/>
      <c r="DQR30" s="672"/>
      <c r="DQS30" s="672"/>
      <c r="DQT30" s="672"/>
      <c r="DQU30" s="672"/>
      <c r="DQV30" s="672"/>
      <c r="DQW30" s="672"/>
      <c r="DQX30" s="672"/>
      <c r="DQY30" s="672"/>
      <c r="DQZ30" s="672"/>
      <c r="DRA30" s="672"/>
      <c r="DRB30" s="672"/>
      <c r="DRC30" s="672"/>
      <c r="DRD30" s="672"/>
      <c r="DRE30" s="672"/>
      <c r="DRF30" s="672"/>
      <c r="DRG30" s="672"/>
      <c r="DRH30" s="672"/>
      <c r="DRI30" s="672"/>
      <c r="DRJ30" s="672"/>
      <c r="DRK30" s="672"/>
      <c r="DRL30" s="672"/>
      <c r="DRM30" s="672"/>
      <c r="DRN30" s="672"/>
      <c r="DRO30" s="672"/>
      <c r="DRP30" s="672"/>
      <c r="DRQ30" s="672"/>
      <c r="DRR30" s="672"/>
      <c r="DRS30" s="672"/>
      <c r="DRT30" s="672"/>
      <c r="DRU30" s="672"/>
      <c r="DRV30" s="672"/>
      <c r="DRW30" s="672"/>
      <c r="DRX30" s="672"/>
      <c r="DRY30" s="672"/>
      <c r="DRZ30" s="672"/>
      <c r="DSA30" s="672"/>
      <c r="DSB30" s="672"/>
      <c r="DSC30" s="672"/>
      <c r="DSD30" s="672"/>
      <c r="DSE30" s="672"/>
      <c r="DSF30" s="672"/>
      <c r="DSG30" s="672"/>
      <c r="DSH30" s="672"/>
      <c r="DSI30" s="672"/>
      <c r="DSJ30" s="672"/>
      <c r="DSK30" s="672"/>
      <c r="DSL30" s="672"/>
      <c r="DSM30" s="672"/>
      <c r="DSN30" s="672"/>
      <c r="DSO30" s="672"/>
      <c r="DSP30" s="672"/>
      <c r="DSQ30" s="672"/>
      <c r="DSR30" s="672"/>
      <c r="DSS30" s="672"/>
      <c r="DST30" s="672"/>
      <c r="DSU30" s="672"/>
      <c r="DSV30" s="672"/>
      <c r="DSW30" s="672"/>
      <c r="DSX30" s="672"/>
      <c r="DSY30" s="672"/>
      <c r="DSZ30" s="672"/>
      <c r="DTA30" s="672"/>
      <c r="DTB30" s="672"/>
      <c r="DTC30" s="672"/>
      <c r="DTD30" s="672"/>
      <c r="DTE30" s="672"/>
      <c r="DTF30" s="672"/>
      <c r="DTG30" s="672"/>
      <c r="DTH30" s="672"/>
      <c r="DTI30" s="672"/>
      <c r="DTJ30" s="672"/>
      <c r="DTK30" s="672"/>
      <c r="DTL30" s="672"/>
      <c r="DTM30" s="672"/>
      <c r="DTN30" s="672"/>
      <c r="DTO30" s="672"/>
      <c r="DTP30" s="672"/>
      <c r="DTQ30" s="672"/>
      <c r="DTR30" s="672"/>
      <c r="DTS30" s="672"/>
      <c r="DTT30" s="672"/>
      <c r="DTU30" s="672"/>
      <c r="DTV30" s="672"/>
      <c r="DTW30" s="672"/>
      <c r="DTX30" s="672"/>
      <c r="DTY30" s="672"/>
      <c r="DTZ30" s="672"/>
      <c r="DUA30" s="672"/>
      <c r="DUB30" s="672"/>
      <c r="DUC30" s="672"/>
      <c r="DUD30" s="672"/>
      <c r="DUE30" s="672"/>
      <c r="DUF30" s="672"/>
      <c r="DUG30" s="672"/>
      <c r="DUH30" s="672"/>
      <c r="DUI30" s="672"/>
      <c r="DUJ30" s="672"/>
      <c r="DUK30" s="672"/>
      <c r="DUL30" s="672"/>
      <c r="DUM30" s="672"/>
      <c r="DUN30" s="672"/>
      <c r="DUO30" s="672"/>
      <c r="DUP30" s="672"/>
      <c r="DUQ30" s="672"/>
      <c r="DUR30" s="672"/>
      <c r="DUS30" s="672"/>
      <c r="DUT30" s="672"/>
      <c r="DUU30" s="672"/>
      <c r="DUV30" s="672"/>
      <c r="DUW30" s="672"/>
      <c r="DUX30" s="672"/>
      <c r="DUY30" s="672"/>
      <c r="DUZ30" s="672"/>
      <c r="DVA30" s="672"/>
      <c r="DVB30" s="672"/>
      <c r="DVC30" s="672"/>
      <c r="DVD30" s="672"/>
      <c r="DVE30" s="672"/>
      <c r="DVF30" s="672"/>
      <c r="DVG30" s="672"/>
      <c r="DVH30" s="672"/>
      <c r="DVI30" s="672"/>
      <c r="DVJ30" s="672"/>
      <c r="DVK30" s="672"/>
      <c r="DVL30" s="672"/>
      <c r="DVM30" s="672"/>
      <c r="DVN30" s="672"/>
      <c r="DVO30" s="672"/>
      <c r="DVP30" s="672"/>
      <c r="DVQ30" s="672"/>
      <c r="DVR30" s="672"/>
      <c r="DVS30" s="672"/>
      <c r="DVT30" s="672"/>
      <c r="DVU30" s="672"/>
      <c r="DVV30" s="672"/>
      <c r="DVW30" s="672"/>
      <c r="DVX30" s="672"/>
      <c r="DVY30" s="672"/>
      <c r="DVZ30" s="672"/>
      <c r="DWA30" s="672"/>
      <c r="DWB30" s="672"/>
      <c r="DWC30" s="672"/>
      <c r="DWD30" s="672"/>
      <c r="DWE30" s="672"/>
      <c r="DWF30" s="672"/>
      <c r="DWG30" s="672"/>
      <c r="DWH30" s="672"/>
      <c r="DWI30" s="672"/>
      <c r="DWJ30" s="672"/>
      <c r="DWK30" s="672"/>
      <c r="DWL30" s="672"/>
      <c r="DWM30" s="672"/>
      <c r="DWN30" s="672"/>
      <c r="DWO30" s="672"/>
      <c r="DWP30" s="672"/>
      <c r="DWQ30" s="672"/>
      <c r="DWR30" s="672"/>
      <c r="DWS30" s="672"/>
      <c r="DWT30" s="672"/>
      <c r="DWU30" s="672"/>
      <c r="DWV30" s="672"/>
      <c r="DWW30" s="672"/>
      <c r="DWX30" s="672"/>
      <c r="DWY30" s="672"/>
      <c r="DWZ30" s="672"/>
      <c r="DXA30" s="672"/>
      <c r="DXB30" s="672"/>
      <c r="DXC30" s="672"/>
      <c r="DXD30" s="672"/>
      <c r="DXE30" s="672"/>
      <c r="DXF30" s="672"/>
      <c r="DXG30" s="672"/>
      <c r="DXH30" s="672"/>
      <c r="DXI30" s="672"/>
      <c r="DXJ30" s="672"/>
      <c r="DXK30" s="672"/>
      <c r="DXL30" s="672"/>
      <c r="DXM30" s="672"/>
      <c r="DXN30" s="672"/>
      <c r="DXO30" s="672"/>
      <c r="DXP30" s="672"/>
      <c r="DXQ30" s="672"/>
      <c r="DXR30" s="672"/>
      <c r="DXS30" s="672"/>
      <c r="DXT30" s="672"/>
      <c r="DXU30" s="672"/>
      <c r="DXV30" s="672"/>
      <c r="DXW30" s="672"/>
      <c r="DXX30" s="672"/>
      <c r="DXY30" s="672"/>
      <c r="DXZ30" s="672"/>
      <c r="DYA30" s="672"/>
      <c r="DYB30" s="672"/>
      <c r="DYC30" s="672"/>
      <c r="DYD30" s="672"/>
      <c r="DYE30" s="672"/>
      <c r="DYF30" s="672"/>
      <c r="DYG30" s="672"/>
      <c r="DYH30" s="672"/>
      <c r="DYI30" s="672"/>
      <c r="DYJ30" s="672"/>
      <c r="DYK30" s="672"/>
      <c r="DYL30" s="672"/>
      <c r="DYM30" s="672"/>
      <c r="DYN30" s="672"/>
      <c r="DYO30" s="672"/>
      <c r="DYP30" s="672"/>
      <c r="DYQ30" s="672"/>
      <c r="DYR30" s="672"/>
      <c r="DYS30" s="672"/>
      <c r="DYT30" s="672"/>
      <c r="DYU30" s="672"/>
      <c r="DYV30" s="672"/>
      <c r="DYW30" s="672"/>
      <c r="DYX30" s="672"/>
      <c r="DYY30" s="672"/>
      <c r="DYZ30" s="672"/>
      <c r="DZA30" s="672"/>
      <c r="DZB30" s="672"/>
      <c r="DZC30" s="672"/>
      <c r="DZD30" s="672"/>
      <c r="DZE30" s="672"/>
      <c r="DZF30" s="672"/>
      <c r="DZG30" s="672"/>
      <c r="DZH30" s="672"/>
      <c r="DZI30" s="672"/>
      <c r="DZJ30" s="672"/>
      <c r="DZK30" s="672"/>
      <c r="DZL30" s="672"/>
      <c r="DZM30" s="672"/>
      <c r="DZN30" s="672"/>
      <c r="DZO30" s="672"/>
      <c r="DZP30" s="672"/>
      <c r="DZQ30" s="672"/>
      <c r="DZR30" s="672"/>
      <c r="DZS30" s="672"/>
      <c r="DZT30" s="672"/>
      <c r="DZU30" s="672"/>
      <c r="DZV30" s="672"/>
      <c r="DZW30" s="672"/>
      <c r="DZX30" s="672"/>
      <c r="DZY30" s="672"/>
      <c r="DZZ30" s="672"/>
      <c r="EAA30" s="672"/>
      <c r="EAB30" s="672"/>
      <c r="EAC30" s="672"/>
      <c r="EAD30" s="672"/>
      <c r="EAE30" s="672"/>
      <c r="EAF30" s="672"/>
      <c r="EAG30" s="672"/>
      <c r="EAH30" s="672"/>
      <c r="EAI30" s="672"/>
      <c r="EAJ30" s="672"/>
      <c r="EAK30" s="672"/>
      <c r="EAL30" s="672"/>
      <c r="EAM30" s="672"/>
      <c r="EAN30" s="672"/>
      <c r="EAO30" s="672"/>
      <c r="EAP30" s="672"/>
      <c r="EAQ30" s="672"/>
      <c r="EAR30" s="672"/>
      <c r="EAS30" s="672"/>
      <c r="EAT30" s="672"/>
      <c r="EAU30" s="672"/>
      <c r="EAV30" s="672"/>
      <c r="EAW30" s="672"/>
      <c r="EAX30" s="672"/>
      <c r="EAY30" s="672"/>
      <c r="EAZ30" s="672"/>
      <c r="EBA30" s="672"/>
      <c r="EBB30" s="672"/>
      <c r="EBC30" s="672"/>
      <c r="EBD30" s="672"/>
      <c r="EBE30" s="672"/>
      <c r="EBF30" s="672"/>
      <c r="EBG30" s="672"/>
      <c r="EBH30" s="672"/>
      <c r="EBI30" s="672"/>
      <c r="EBJ30" s="672"/>
      <c r="EBK30" s="672"/>
      <c r="EBL30" s="672"/>
      <c r="EBM30" s="672"/>
      <c r="EBN30" s="672"/>
      <c r="EBO30" s="672"/>
      <c r="EBP30" s="672"/>
      <c r="EBQ30" s="672"/>
      <c r="EBR30" s="672"/>
      <c r="EBS30" s="672"/>
      <c r="EBT30" s="672"/>
      <c r="EBU30" s="672"/>
      <c r="EBV30" s="672"/>
      <c r="EBW30" s="672"/>
      <c r="EBX30" s="672"/>
      <c r="EBY30" s="672"/>
      <c r="EBZ30" s="672"/>
      <c r="ECA30" s="672"/>
      <c r="ECB30" s="672"/>
      <c r="ECC30" s="672"/>
      <c r="ECD30" s="672"/>
      <c r="ECE30" s="672"/>
      <c r="ECF30" s="672"/>
      <c r="ECG30" s="672"/>
      <c r="ECH30" s="672"/>
      <c r="ECI30" s="672"/>
      <c r="ECJ30" s="672"/>
      <c r="ECK30" s="672"/>
      <c r="ECL30" s="672"/>
      <c r="ECM30" s="672"/>
      <c r="ECN30" s="672"/>
      <c r="ECO30" s="672"/>
      <c r="ECP30" s="672"/>
      <c r="ECQ30" s="672"/>
      <c r="ECR30" s="672"/>
      <c r="ECS30" s="672"/>
      <c r="ECT30" s="672"/>
      <c r="ECU30" s="672"/>
      <c r="ECV30" s="672"/>
      <c r="ECW30" s="672"/>
      <c r="ECX30" s="672"/>
      <c r="ECY30" s="672"/>
      <c r="ECZ30" s="672"/>
      <c r="EDA30" s="672"/>
      <c r="EDB30" s="672"/>
      <c r="EDC30" s="672"/>
      <c r="EDD30" s="672"/>
      <c r="EDE30" s="672"/>
      <c r="EDF30" s="672"/>
      <c r="EDG30" s="672"/>
      <c r="EDH30" s="672"/>
      <c r="EDI30" s="672"/>
      <c r="EDJ30" s="672"/>
      <c r="EDK30" s="672"/>
      <c r="EDL30" s="672"/>
      <c r="EDM30" s="672"/>
      <c r="EDN30" s="672"/>
      <c r="EDO30" s="672"/>
      <c r="EDP30" s="672"/>
      <c r="EDQ30" s="672"/>
      <c r="EDR30" s="672"/>
      <c r="EDS30" s="672"/>
      <c r="EDT30" s="672"/>
      <c r="EDU30" s="672"/>
      <c r="EDV30" s="672"/>
      <c r="EDW30" s="672"/>
      <c r="EDX30" s="672"/>
      <c r="EDY30" s="672"/>
      <c r="EDZ30" s="672"/>
      <c r="EEA30" s="672"/>
      <c r="EEB30" s="672"/>
      <c r="EEC30" s="672"/>
      <c r="EED30" s="672"/>
      <c r="EEE30" s="672"/>
      <c r="EEF30" s="672"/>
      <c r="EEG30" s="672"/>
      <c r="EEH30" s="672"/>
      <c r="EEI30" s="672"/>
      <c r="EEJ30" s="672"/>
      <c r="EEK30" s="672"/>
      <c r="EEL30" s="672"/>
      <c r="EEM30" s="672"/>
      <c r="EEN30" s="672"/>
      <c r="EEO30" s="672"/>
      <c r="EEP30" s="672"/>
      <c r="EEQ30" s="672"/>
      <c r="EER30" s="672"/>
      <c r="EES30" s="672"/>
      <c r="EET30" s="672"/>
      <c r="EEU30" s="672"/>
      <c r="EEV30" s="672"/>
      <c r="EEW30" s="672"/>
      <c r="EEX30" s="672"/>
      <c r="EEY30" s="672"/>
      <c r="EEZ30" s="672"/>
      <c r="EFA30" s="672"/>
      <c r="EFB30" s="672"/>
      <c r="EFC30" s="672"/>
      <c r="EFD30" s="672"/>
      <c r="EFE30" s="672"/>
      <c r="EFF30" s="672"/>
      <c r="EFG30" s="672"/>
      <c r="EFH30" s="672"/>
      <c r="EFI30" s="672"/>
      <c r="EFJ30" s="672"/>
      <c r="EFK30" s="672"/>
      <c r="EFL30" s="672"/>
      <c r="EFM30" s="672"/>
      <c r="EFN30" s="672"/>
      <c r="EFO30" s="672"/>
      <c r="EFP30" s="672"/>
      <c r="EFQ30" s="672"/>
      <c r="EFR30" s="672"/>
      <c r="EFS30" s="672"/>
      <c r="EFT30" s="672"/>
      <c r="EFU30" s="672"/>
      <c r="EFV30" s="672"/>
      <c r="EFW30" s="672"/>
      <c r="EFX30" s="672"/>
      <c r="EFY30" s="672"/>
      <c r="EFZ30" s="672"/>
      <c r="EGA30" s="672"/>
      <c r="EGB30" s="672"/>
      <c r="EGC30" s="672"/>
      <c r="EGD30" s="672"/>
      <c r="EGE30" s="672"/>
      <c r="EGF30" s="672"/>
      <c r="EGG30" s="672"/>
      <c r="EGH30" s="672"/>
      <c r="EGI30" s="672"/>
      <c r="EGJ30" s="672"/>
      <c r="EGK30" s="672"/>
      <c r="EGL30" s="672"/>
      <c r="EGM30" s="672"/>
      <c r="EGN30" s="672"/>
      <c r="EGO30" s="672"/>
      <c r="EGP30" s="672"/>
      <c r="EGQ30" s="672"/>
      <c r="EGR30" s="672"/>
      <c r="EGS30" s="672"/>
      <c r="EGT30" s="672"/>
      <c r="EGU30" s="672"/>
      <c r="EGV30" s="672"/>
      <c r="EGW30" s="672"/>
      <c r="EGX30" s="672"/>
      <c r="EGY30" s="672"/>
      <c r="EGZ30" s="672"/>
      <c r="EHA30" s="672"/>
      <c r="EHB30" s="672"/>
      <c r="EHC30" s="672"/>
      <c r="EHD30" s="672"/>
      <c r="EHE30" s="672"/>
      <c r="EHF30" s="672"/>
      <c r="EHG30" s="672"/>
      <c r="EHH30" s="672"/>
      <c r="EHI30" s="672"/>
      <c r="EHJ30" s="672"/>
      <c r="EHK30" s="672"/>
      <c r="EHL30" s="672"/>
      <c r="EHM30" s="672"/>
      <c r="EHN30" s="672"/>
      <c r="EHO30" s="672"/>
      <c r="EHP30" s="672"/>
      <c r="EHQ30" s="672"/>
      <c r="EHR30" s="672"/>
      <c r="EHS30" s="672"/>
      <c r="EHT30" s="672"/>
      <c r="EHU30" s="672"/>
      <c r="EHV30" s="672"/>
      <c r="EHW30" s="672"/>
      <c r="EHX30" s="672"/>
      <c r="EHY30" s="672"/>
      <c r="EHZ30" s="672"/>
      <c r="EIA30" s="672"/>
      <c r="EIB30" s="672"/>
      <c r="EIC30" s="672"/>
      <c r="EID30" s="672"/>
      <c r="EIE30" s="672"/>
      <c r="EIF30" s="672"/>
      <c r="EIG30" s="672"/>
      <c r="EIH30" s="672"/>
      <c r="EII30" s="672"/>
      <c r="EIJ30" s="672"/>
      <c r="EIK30" s="672"/>
      <c r="EIL30" s="672"/>
      <c r="EIM30" s="672"/>
      <c r="EIN30" s="672"/>
      <c r="EIO30" s="672"/>
      <c r="EIP30" s="672"/>
      <c r="EIQ30" s="672"/>
      <c r="EIR30" s="672"/>
      <c r="EIS30" s="672"/>
      <c r="EIT30" s="672"/>
      <c r="EIU30" s="672"/>
      <c r="EIV30" s="672"/>
      <c r="EIW30" s="672"/>
      <c r="EIX30" s="672"/>
      <c r="EIY30" s="672"/>
      <c r="EIZ30" s="672"/>
      <c r="EJA30" s="672"/>
      <c r="EJB30" s="672"/>
      <c r="EJC30" s="672"/>
      <c r="EJD30" s="672"/>
      <c r="EJE30" s="672"/>
      <c r="EJF30" s="672"/>
      <c r="EJG30" s="672"/>
      <c r="EJH30" s="672"/>
      <c r="EJI30" s="672"/>
      <c r="EJJ30" s="672"/>
      <c r="EJK30" s="672"/>
      <c r="EJL30" s="672"/>
      <c r="EJM30" s="672"/>
      <c r="EJN30" s="672"/>
      <c r="EJO30" s="672"/>
      <c r="EJP30" s="672"/>
      <c r="EJQ30" s="672"/>
      <c r="EJR30" s="672"/>
      <c r="EJS30" s="672"/>
      <c r="EJT30" s="672"/>
      <c r="EJU30" s="672"/>
      <c r="EJV30" s="672"/>
      <c r="EJW30" s="672"/>
      <c r="EJX30" s="672"/>
      <c r="EJY30" s="672"/>
      <c r="EJZ30" s="672"/>
      <c r="EKA30" s="672"/>
      <c r="EKB30" s="672"/>
      <c r="EKC30" s="672"/>
      <c r="EKD30" s="672"/>
      <c r="EKE30" s="672"/>
      <c r="EKF30" s="672"/>
      <c r="EKG30" s="672"/>
      <c r="EKH30" s="672"/>
      <c r="EKI30" s="672"/>
      <c r="EKJ30" s="672"/>
      <c r="EKK30" s="672"/>
      <c r="EKL30" s="672"/>
      <c r="EKM30" s="672"/>
      <c r="EKN30" s="672"/>
      <c r="EKO30" s="672"/>
      <c r="EKP30" s="672"/>
      <c r="EKQ30" s="672"/>
      <c r="EKR30" s="672"/>
      <c r="EKS30" s="672"/>
      <c r="EKT30" s="672"/>
      <c r="EKU30" s="672"/>
      <c r="EKV30" s="672"/>
      <c r="EKW30" s="672"/>
      <c r="EKX30" s="672"/>
      <c r="EKY30" s="672"/>
      <c r="EKZ30" s="672"/>
      <c r="ELA30" s="672"/>
      <c r="ELB30" s="672"/>
      <c r="ELC30" s="672"/>
      <c r="ELD30" s="672"/>
      <c r="ELE30" s="672"/>
      <c r="ELF30" s="672"/>
      <c r="ELG30" s="672"/>
      <c r="ELH30" s="672"/>
      <c r="ELI30" s="672"/>
      <c r="ELJ30" s="672"/>
      <c r="ELK30" s="672"/>
      <c r="ELL30" s="672"/>
      <c r="ELM30" s="672"/>
      <c r="ELN30" s="672"/>
      <c r="ELO30" s="672"/>
      <c r="ELP30" s="672"/>
      <c r="ELQ30" s="672"/>
      <c r="ELR30" s="672"/>
      <c r="ELS30" s="672"/>
      <c r="ELT30" s="672"/>
      <c r="ELU30" s="672"/>
      <c r="ELV30" s="672"/>
      <c r="ELW30" s="672"/>
      <c r="ELX30" s="672"/>
      <c r="ELY30" s="672"/>
      <c r="ELZ30" s="672"/>
      <c r="EMA30" s="672"/>
      <c r="EMB30" s="672"/>
      <c r="EMC30" s="672"/>
      <c r="EMD30" s="672"/>
      <c r="EME30" s="672"/>
      <c r="EMF30" s="672"/>
      <c r="EMG30" s="672"/>
      <c r="EMH30" s="672"/>
      <c r="EMI30" s="672"/>
      <c r="EMJ30" s="672"/>
      <c r="EMK30" s="672"/>
      <c r="EML30" s="672"/>
      <c r="EMM30" s="672"/>
      <c r="EMN30" s="672"/>
      <c r="EMO30" s="672"/>
      <c r="EMP30" s="672"/>
      <c r="EMQ30" s="672"/>
      <c r="EMR30" s="672"/>
      <c r="EMS30" s="672"/>
      <c r="EMT30" s="672"/>
      <c r="EMU30" s="672"/>
      <c r="EMV30" s="672"/>
      <c r="EMW30" s="672"/>
      <c r="EMX30" s="672"/>
      <c r="EMY30" s="672"/>
      <c r="EMZ30" s="672"/>
      <c r="ENA30" s="672"/>
      <c r="ENB30" s="672"/>
      <c r="ENC30" s="672"/>
      <c r="END30" s="672"/>
      <c r="ENE30" s="672"/>
      <c r="ENF30" s="672"/>
      <c r="ENG30" s="672"/>
      <c r="ENH30" s="672"/>
      <c r="ENI30" s="672"/>
      <c r="ENJ30" s="672"/>
      <c r="ENK30" s="672"/>
      <c r="ENL30" s="672"/>
      <c r="ENM30" s="672"/>
      <c r="ENN30" s="672"/>
      <c r="ENO30" s="672"/>
      <c r="ENP30" s="672"/>
      <c r="ENQ30" s="672"/>
      <c r="ENR30" s="672"/>
      <c r="ENS30" s="672"/>
      <c r="ENT30" s="672"/>
      <c r="ENU30" s="672"/>
      <c r="ENV30" s="672"/>
      <c r="ENW30" s="672"/>
      <c r="ENX30" s="672"/>
      <c r="ENY30" s="672"/>
      <c r="ENZ30" s="672"/>
      <c r="EOA30" s="672"/>
      <c r="EOB30" s="672"/>
      <c r="EOC30" s="672"/>
      <c r="EOD30" s="672"/>
      <c r="EOE30" s="672"/>
      <c r="EOF30" s="672"/>
      <c r="EOG30" s="672"/>
      <c r="EOH30" s="672"/>
      <c r="EOI30" s="672"/>
      <c r="EOJ30" s="672"/>
      <c r="EOK30" s="672"/>
      <c r="EOL30" s="672"/>
      <c r="EOM30" s="672"/>
      <c r="EON30" s="672"/>
      <c r="EOO30" s="672"/>
      <c r="EOP30" s="672"/>
      <c r="EOQ30" s="672"/>
      <c r="EOR30" s="672"/>
      <c r="EOS30" s="672"/>
      <c r="EOT30" s="672"/>
      <c r="EOU30" s="672"/>
      <c r="EOV30" s="672"/>
      <c r="EOW30" s="672"/>
      <c r="EOX30" s="672"/>
      <c r="EOY30" s="672"/>
      <c r="EOZ30" s="672"/>
      <c r="EPA30" s="672"/>
      <c r="EPB30" s="672"/>
      <c r="EPC30" s="672"/>
      <c r="EPD30" s="672"/>
      <c r="EPE30" s="672"/>
      <c r="EPF30" s="672"/>
      <c r="EPG30" s="672"/>
      <c r="EPH30" s="672"/>
      <c r="EPI30" s="672"/>
      <c r="EPJ30" s="672"/>
      <c r="EPK30" s="672"/>
      <c r="EPL30" s="672"/>
      <c r="EPM30" s="672"/>
      <c r="EPN30" s="672"/>
      <c r="EPO30" s="672"/>
      <c r="EPP30" s="672"/>
      <c r="EPQ30" s="672"/>
      <c r="EPR30" s="672"/>
      <c r="EPS30" s="672"/>
      <c r="EPT30" s="672"/>
      <c r="EPU30" s="672"/>
      <c r="EPV30" s="672"/>
      <c r="EPW30" s="672"/>
      <c r="EPX30" s="672"/>
      <c r="EPY30" s="672"/>
      <c r="EPZ30" s="672"/>
      <c r="EQA30" s="672"/>
      <c r="EQB30" s="672"/>
      <c r="EQC30" s="672"/>
      <c r="EQD30" s="672"/>
      <c r="EQE30" s="672"/>
      <c r="EQF30" s="672"/>
      <c r="EQG30" s="672"/>
      <c r="EQH30" s="672"/>
      <c r="EQI30" s="672"/>
      <c r="EQJ30" s="672"/>
      <c r="EQK30" s="672"/>
      <c r="EQL30" s="672"/>
      <c r="EQM30" s="672"/>
      <c r="EQN30" s="672"/>
      <c r="EQO30" s="672"/>
      <c r="EQP30" s="672"/>
      <c r="EQQ30" s="672"/>
      <c r="EQR30" s="672"/>
      <c r="EQS30" s="672"/>
      <c r="EQT30" s="672"/>
      <c r="EQU30" s="672"/>
      <c r="EQV30" s="672"/>
      <c r="EQW30" s="672"/>
      <c r="EQX30" s="672"/>
      <c r="EQY30" s="672"/>
      <c r="EQZ30" s="672"/>
      <c r="ERA30" s="672"/>
      <c r="ERB30" s="672"/>
      <c r="ERC30" s="672"/>
      <c r="ERD30" s="672"/>
      <c r="ERE30" s="672"/>
      <c r="ERF30" s="672"/>
      <c r="ERG30" s="672"/>
      <c r="ERH30" s="672"/>
      <c r="ERI30" s="672"/>
      <c r="ERJ30" s="672"/>
      <c r="ERK30" s="672"/>
      <c r="ERL30" s="672"/>
      <c r="ERM30" s="672"/>
      <c r="ERN30" s="672"/>
      <c r="ERO30" s="672"/>
      <c r="ERP30" s="672"/>
      <c r="ERQ30" s="672"/>
      <c r="ERR30" s="672"/>
      <c r="ERS30" s="672"/>
      <c r="ERT30" s="672"/>
      <c r="ERU30" s="672"/>
      <c r="ERV30" s="672"/>
      <c r="ERW30" s="672"/>
      <c r="ERX30" s="672"/>
      <c r="ERY30" s="672"/>
      <c r="ERZ30" s="672"/>
      <c r="ESA30" s="672"/>
      <c r="ESB30" s="672"/>
      <c r="ESC30" s="672"/>
      <c r="ESD30" s="672"/>
      <c r="ESE30" s="672"/>
      <c r="ESF30" s="672"/>
      <c r="ESG30" s="672"/>
      <c r="ESH30" s="672"/>
      <c r="ESI30" s="672"/>
      <c r="ESJ30" s="672"/>
      <c r="ESK30" s="672"/>
      <c r="ESL30" s="672"/>
      <c r="ESM30" s="672"/>
      <c r="ESN30" s="672"/>
      <c r="ESO30" s="672"/>
      <c r="ESP30" s="672"/>
      <c r="ESQ30" s="672"/>
      <c r="ESR30" s="672"/>
      <c r="ESS30" s="672"/>
      <c r="EST30" s="672"/>
      <c r="ESU30" s="672"/>
      <c r="ESV30" s="672"/>
      <c r="ESW30" s="672"/>
      <c r="ESX30" s="672"/>
      <c r="ESY30" s="672"/>
      <c r="ESZ30" s="672"/>
      <c r="ETA30" s="672"/>
      <c r="ETB30" s="672"/>
      <c r="ETC30" s="672"/>
      <c r="ETD30" s="672"/>
      <c r="ETE30" s="672"/>
      <c r="ETF30" s="672"/>
      <c r="ETG30" s="672"/>
      <c r="ETH30" s="672"/>
      <c r="ETI30" s="672"/>
      <c r="ETJ30" s="672"/>
      <c r="ETK30" s="672"/>
      <c r="ETL30" s="672"/>
      <c r="ETM30" s="672"/>
      <c r="ETN30" s="672"/>
      <c r="ETO30" s="672"/>
      <c r="ETP30" s="672"/>
      <c r="ETQ30" s="672"/>
      <c r="ETR30" s="672"/>
      <c r="ETS30" s="672"/>
      <c r="ETT30" s="672"/>
      <c r="ETU30" s="672"/>
      <c r="ETV30" s="672"/>
      <c r="ETW30" s="672"/>
      <c r="ETX30" s="672"/>
      <c r="ETY30" s="672"/>
      <c r="ETZ30" s="672"/>
      <c r="EUA30" s="672"/>
      <c r="EUB30" s="672"/>
      <c r="EUC30" s="672"/>
      <c r="EUD30" s="672"/>
      <c r="EUE30" s="672"/>
      <c r="EUF30" s="672"/>
      <c r="EUG30" s="672"/>
      <c r="EUH30" s="672"/>
      <c r="EUI30" s="672"/>
      <c r="EUJ30" s="672"/>
      <c r="EUK30" s="672"/>
      <c r="EUL30" s="672"/>
      <c r="EUM30" s="672"/>
      <c r="EUN30" s="672"/>
      <c r="EUO30" s="672"/>
      <c r="EUP30" s="672"/>
      <c r="EUQ30" s="672"/>
      <c r="EUR30" s="672"/>
      <c r="EUS30" s="672"/>
      <c r="EUT30" s="672"/>
      <c r="EUU30" s="672"/>
      <c r="EUV30" s="672"/>
      <c r="EUW30" s="672"/>
      <c r="EUX30" s="672"/>
      <c r="EUY30" s="672"/>
      <c r="EUZ30" s="672"/>
      <c r="EVA30" s="672"/>
      <c r="EVB30" s="672"/>
      <c r="EVC30" s="672"/>
      <c r="EVD30" s="672"/>
      <c r="EVE30" s="672"/>
      <c r="EVF30" s="672"/>
      <c r="EVG30" s="672"/>
      <c r="EVH30" s="672"/>
      <c r="EVI30" s="672"/>
      <c r="EVJ30" s="672"/>
      <c r="EVK30" s="672"/>
      <c r="EVL30" s="672"/>
      <c r="EVM30" s="672"/>
      <c r="EVN30" s="672"/>
      <c r="EVO30" s="672"/>
      <c r="EVP30" s="672"/>
      <c r="EVQ30" s="672"/>
      <c r="EVR30" s="672"/>
      <c r="EVS30" s="672"/>
      <c r="EVT30" s="672"/>
      <c r="EVU30" s="672"/>
      <c r="EVV30" s="672"/>
      <c r="EVW30" s="672"/>
      <c r="EVX30" s="672"/>
      <c r="EVY30" s="672"/>
      <c r="EVZ30" s="672"/>
      <c r="EWA30" s="672"/>
      <c r="EWB30" s="672"/>
      <c r="EWC30" s="672"/>
      <c r="EWD30" s="672"/>
      <c r="EWE30" s="672"/>
      <c r="EWF30" s="672"/>
      <c r="EWG30" s="672"/>
      <c r="EWH30" s="672"/>
      <c r="EWI30" s="672"/>
      <c r="EWJ30" s="672"/>
      <c r="EWK30" s="672"/>
      <c r="EWL30" s="672"/>
      <c r="EWM30" s="672"/>
      <c r="EWN30" s="672"/>
      <c r="EWO30" s="672"/>
      <c r="EWP30" s="672"/>
      <c r="EWQ30" s="672"/>
      <c r="EWR30" s="672"/>
      <c r="EWS30" s="672"/>
      <c r="EWT30" s="672"/>
      <c r="EWU30" s="672"/>
      <c r="EWV30" s="672"/>
      <c r="EWW30" s="672"/>
      <c r="EWX30" s="672"/>
      <c r="EWY30" s="672"/>
      <c r="EWZ30" s="672"/>
      <c r="EXA30" s="672"/>
      <c r="EXB30" s="672"/>
      <c r="EXC30" s="672"/>
      <c r="EXD30" s="672"/>
      <c r="EXE30" s="672"/>
      <c r="EXF30" s="672"/>
      <c r="EXG30" s="672"/>
      <c r="EXH30" s="672"/>
      <c r="EXI30" s="672"/>
      <c r="EXJ30" s="672"/>
      <c r="EXK30" s="672"/>
      <c r="EXL30" s="672"/>
      <c r="EXM30" s="672"/>
      <c r="EXN30" s="672"/>
      <c r="EXO30" s="672"/>
      <c r="EXP30" s="672"/>
      <c r="EXQ30" s="672"/>
      <c r="EXR30" s="672"/>
      <c r="EXS30" s="672"/>
      <c r="EXT30" s="672"/>
      <c r="EXU30" s="672"/>
      <c r="EXV30" s="672"/>
      <c r="EXW30" s="672"/>
      <c r="EXX30" s="672"/>
      <c r="EXY30" s="672"/>
      <c r="EXZ30" s="672"/>
      <c r="EYA30" s="672"/>
      <c r="EYB30" s="672"/>
      <c r="EYC30" s="672"/>
      <c r="EYD30" s="672"/>
      <c r="EYE30" s="672"/>
      <c r="EYF30" s="672"/>
      <c r="EYG30" s="672"/>
      <c r="EYH30" s="672"/>
      <c r="EYI30" s="672"/>
      <c r="EYJ30" s="672"/>
      <c r="EYK30" s="672"/>
      <c r="EYL30" s="672"/>
      <c r="EYM30" s="672"/>
      <c r="EYN30" s="672"/>
      <c r="EYO30" s="672"/>
      <c r="EYP30" s="672"/>
      <c r="EYQ30" s="672"/>
      <c r="EYR30" s="672"/>
      <c r="EYS30" s="672"/>
      <c r="EYT30" s="672"/>
      <c r="EYU30" s="672"/>
      <c r="EYV30" s="672"/>
      <c r="EYW30" s="672"/>
      <c r="EYX30" s="672"/>
      <c r="EYY30" s="672"/>
      <c r="EYZ30" s="672"/>
      <c r="EZA30" s="672"/>
      <c r="EZB30" s="672"/>
      <c r="EZC30" s="672"/>
      <c r="EZD30" s="672"/>
      <c r="EZE30" s="672"/>
      <c r="EZF30" s="672"/>
      <c r="EZG30" s="672"/>
      <c r="EZH30" s="672"/>
      <c r="EZI30" s="672"/>
      <c r="EZJ30" s="672"/>
      <c r="EZK30" s="672"/>
      <c r="EZL30" s="672"/>
      <c r="EZM30" s="672"/>
      <c r="EZN30" s="672"/>
      <c r="EZO30" s="672"/>
      <c r="EZP30" s="672"/>
      <c r="EZQ30" s="672"/>
      <c r="EZR30" s="672"/>
      <c r="EZS30" s="672"/>
      <c r="EZT30" s="672"/>
      <c r="EZU30" s="672"/>
      <c r="EZV30" s="672"/>
      <c r="EZW30" s="672"/>
      <c r="EZX30" s="672"/>
      <c r="EZY30" s="672"/>
      <c r="EZZ30" s="672"/>
      <c r="FAA30" s="672"/>
      <c r="FAB30" s="672"/>
      <c r="FAC30" s="672"/>
      <c r="FAD30" s="672"/>
      <c r="FAE30" s="672"/>
      <c r="FAF30" s="672"/>
      <c r="FAG30" s="672"/>
      <c r="FAH30" s="672"/>
      <c r="FAI30" s="672"/>
      <c r="FAJ30" s="672"/>
      <c r="FAK30" s="672"/>
      <c r="FAL30" s="672"/>
      <c r="FAM30" s="672"/>
      <c r="FAN30" s="672"/>
      <c r="FAO30" s="672"/>
      <c r="FAP30" s="672"/>
      <c r="FAQ30" s="672"/>
      <c r="FAR30" s="672"/>
      <c r="FAS30" s="672"/>
      <c r="FAT30" s="672"/>
      <c r="FAU30" s="672"/>
      <c r="FAV30" s="672"/>
      <c r="FAW30" s="672"/>
      <c r="FAX30" s="672"/>
      <c r="FAY30" s="672"/>
      <c r="FAZ30" s="672"/>
      <c r="FBA30" s="672"/>
      <c r="FBB30" s="672"/>
      <c r="FBC30" s="672"/>
      <c r="FBD30" s="672"/>
      <c r="FBE30" s="672"/>
      <c r="FBF30" s="672"/>
      <c r="FBG30" s="672"/>
      <c r="FBH30" s="672"/>
      <c r="FBI30" s="672"/>
      <c r="FBJ30" s="672"/>
      <c r="FBK30" s="672"/>
      <c r="FBL30" s="672"/>
      <c r="FBM30" s="672"/>
      <c r="FBN30" s="672"/>
      <c r="FBO30" s="672"/>
      <c r="FBP30" s="672"/>
      <c r="FBQ30" s="672"/>
      <c r="FBR30" s="672"/>
      <c r="FBS30" s="672"/>
      <c r="FBT30" s="672"/>
      <c r="FBU30" s="672"/>
      <c r="FBV30" s="672"/>
      <c r="FBW30" s="672"/>
      <c r="FBX30" s="672"/>
      <c r="FBY30" s="672"/>
      <c r="FBZ30" s="672"/>
      <c r="FCA30" s="672"/>
      <c r="FCB30" s="672"/>
      <c r="FCC30" s="672"/>
      <c r="FCD30" s="672"/>
      <c r="FCE30" s="672"/>
      <c r="FCF30" s="672"/>
      <c r="FCG30" s="672"/>
      <c r="FCH30" s="672"/>
      <c r="FCI30" s="672"/>
      <c r="FCJ30" s="672"/>
      <c r="FCK30" s="672"/>
      <c r="FCL30" s="672"/>
      <c r="FCM30" s="672"/>
      <c r="FCN30" s="672"/>
      <c r="FCO30" s="672"/>
      <c r="FCP30" s="672"/>
      <c r="FCQ30" s="672"/>
      <c r="FCR30" s="672"/>
      <c r="FCS30" s="672"/>
      <c r="FCT30" s="672"/>
      <c r="FCU30" s="672"/>
      <c r="FCV30" s="672"/>
      <c r="FCW30" s="672"/>
      <c r="FCX30" s="672"/>
      <c r="FCY30" s="672"/>
      <c r="FCZ30" s="672"/>
      <c r="FDA30" s="672"/>
      <c r="FDB30" s="672"/>
      <c r="FDC30" s="672"/>
      <c r="FDD30" s="672"/>
      <c r="FDE30" s="672"/>
      <c r="FDF30" s="672"/>
      <c r="FDG30" s="672"/>
      <c r="FDH30" s="672"/>
      <c r="FDI30" s="672"/>
      <c r="FDJ30" s="672"/>
      <c r="FDK30" s="672"/>
      <c r="FDL30" s="672"/>
      <c r="FDM30" s="672"/>
      <c r="FDN30" s="672"/>
      <c r="FDO30" s="672"/>
      <c r="FDP30" s="672"/>
      <c r="FDQ30" s="672"/>
      <c r="FDR30" s="672"/>
      <c r="FDS30" s="672"/>
      <c r="FDT30" s="672"/>
      <c r="FDU30" s="672"/>
      <c r="FDV30" s="672"/>
      <c r="FDW30" s="672"/>
      <c r="FDX30" s="672"/>
      <c r="FDY30" s="672"/>
      <c r="FDZ30" s="672"/>
      <c r="FEA30" s="672"/>
      <c r="FEB30" s="672"/>
      <c r="FEC30" s="672"/>
      <c r="FED30" s="672"/>
      <c r="FEE30" s="672"/>
      <c r="FEF30" s="672"/>
      <c r="FEG30" s="672"/>
      <c r="FEH30" s="672"/>
      <c r="FEI30" s="672"/>
      <c r="FEJ30" s="672"/>
      <c r="FEK30" s="672"/>
      <c r="FEL30" s="672"/>
      <c r="FEM30" s="672"/>
      <c r="FEN30" s="672"/>
      <c r="FEO30" s="672"/>
      <c r="FEP30" s="672"/>
      <c r="FEQ30" s="672"/>
      <c r="FER30" s="672"/>
      <c r="FES30" s="672"/>
      <c r="FET30" s="672"/>
      <c r="FEU30" s="672"/>
      <c r="FEV30" s="672"/>
      <c r="FEW30" s="672"/>
      <c r="FEX30" s="672"/>
      <c r="FEY30" s="672"/>
      <c r="FEZ30" s="672"/>
      <c r="FFA30" s="672"/>
      <c r="FFB30" s="672"/>
      <c r="FFC30" s="672"/>
      <c r="FFD30" s="672"/>
      <c r="FFE30" s="672"/>
      <c r="FFF30" s="672"/>
      <c r="FFG30" s="672"/>
      <c r="FFH30" s="672"/>
      <c r="FFI30" s="672"/>
      <c r="FFJ30" s="672"/>
      <c r="FFK30" s="672"/>
      <c r="FFL30" s="672"/>
      <c r="FFM30" s="672"/>
      <c r="FFN30" s="672"/>
      <c r="FFO30" s="672"/>
      <c r="FFP30" s="672"/>
      <c r="FFQ30" s="672"/>
      <c r="FFR30" s="672"/>
      <c r="FFS30" s="672"/>
      <c r="FFT30" s="672"/>
      <c r="FFU30" s="672"/>
      <c r="FFV30" s="672"/>
      <c r="FFW30" s="672"/>
      <c r="FFX30" s="672"/>
      <c r="FFY30" s="672"/>
      <c r="FFZ30" s="672"/>
      <c r="FGA30" s="672"/>
      <c r="FGB30" s="672"/>
      <c r="FGC30" s="672"/>
      <c r="FGD30" s="672"/>
      <c r="FGE30" s="672"/>
      <c r="FGF30" s="672"/>
      <c r="FGG30" s="672"/>
      <c r="FGH30" s="672"/>
      <c r="FGI30" s="672"/>
      <c r="FGJ30" s="672"/>
      <c r="FGK30" s="672"/>
      <c r="FGL30" s="672"/>
      <c r="FGM30" s="672"/>
      <c r="FGN30" s="672"/>
      <c r="FGO30" s="672"/>
      <c r="FGP30" s="672"/>
      <c r="FGQ30" s="672"/>
      <c r="FGR30" s="672"/>
      <c r="FGS30" s="672"/>
      <c r="FGT30" s="672"/>
      <c r="FGU30" s="672"/>
      <c r="FGV30" s="672"/>
      <c r="FGW30" s="672"/>
      <c r="FGX30" s="672"/>
      <c r="FGY30" s="672"/>
      <c r="FGZ30" s="672"/>
      <c r="FHA30" s="672"/>
      <c r="FHB30" s="672"/>
      <c r="FHC30" s="672"/>
      <c r="FHD30" s="672"/>
      <c r="FHE30" s="672"/>
      <c r="FHF30" s="672"/>
      <c r="FHG30" s="672"/>
      <c r="FHH30" s="672"/>
      <c r="FHI30" s="672"/>
      <c r="FHJ30" s="672"/>
      <c r="FHK30" s="672"/>
      <c r="FHL30" s="672"/>
      <c r="FHM30" s="672"/>
      <c r="FHN30" s="672"/>
      <c r="FHO30" s="672"/>
      <c r="FHP30" s="672"/>
      <c r="FHQ30" s="672"/>
      <c r="FHR30" s="672"/>
      <c r="FHS30" s="672"/>
      <c r="FHT30" s="672"/>
      <c r="FHU30" s="672"/>
      <c r="FHV30" s="672"/>
      <c r="FHW30" s="672"/>
      <c r="FHX30" s="672"/>
      <c r="FHY30" s="672"/>
      <c r="FHZ30" s="672"/>
      <c r="FIA30" s="672"/>
      <c r="FIB30" s="672"/>
      <c r="FIC30" s="672"/>
      <c r="FID30" s="672"/>
      <c r="FIE30" s="672"/>
      <c r="FIF30" s="672"/>
      <c r="FIG30" s="672"/>
      <c r="FIH30" s="672"/>
      <c r="FII30" s="672"/>
      <c r="FIJ30" s="672"/>
      <c r="FIK30" s="672"/>
      <c r="FIL30" s="672"/>
      <c r="FIM30" s="672"/>
      <c r="FIN30" s="672"/>
      <c r="FIO30" s="672"/>
      <c r="FIP30" s="672"/>
      <c r="FIQ30" s="672"/>
      <c r="FIR30" s="672"/>
      <c r="FIS30" s="672"/>
      <c r="FIT30" s="672"/>
      <c r="FIU30" s="672"/>
      <c r="FIV30" s="672"/>
      <c r="FIW30" s="672"/>
      <c r="FIX30" s="672"/>
      <c r="FIY30" s="672"/>
      <c r="FIZ30" s="672"/>
      <c r="FJA30" s="672"/>
      <c r="FJB30" s="672"/>
      <c r="FJC30" s="672"/>
      <c r="FJD30" s="672"/>
      <c r="FJE30" s="672"/>
      <c r="FJF30" s="672"/>
      <c r="FJG30" s="672"/>
      <c r="FJH30" s="672"/>
      <c r="FJI30" s="672"/>
      <c r="FJJ30" s="672"/>
      <c r="FJK30" s="672"/>
      <c r="FJL30" s="672"/>
      <c r="FJM30" s="672"/>
      <c r="FJN30" s="672"/>
      <c r="FJO30" s="672"/>
      <c r="FJP30" s="672"/>
      <c r="FJQ30" s="672"/>
      <c r="FJR30" s="672"/>
      <c r="FJS30" s="672"/>
      <c r="FJT30" s="672"/>
      <c r="FJU30" s="672"/>
      <c r="FJV30" s="672"/>
      <c r="FJW30" s="672"/>
      <c r="FJX30" s="672"/>
      <c r="FJY30" s="672"/>
      <c r="FJZ30" s="672"/>
      <c r="FKA30" s="672"/>
      <c r="FKB30" s="672"/>
      <c r="FKC30" s="672"/>
      <c r="FKD30" s="672"/>
      <c r="FKE30" s="672"/>
      <c r="FKF30" s="672"/>
      <c r="FKG30" s="672"/>
      <c r="FKH30" s="672"/>
      <c r="FKI30" s="672"/>
      <c r="FKJ30" s="672"/>
      <c r="FKK30" s="672"/>
      <c r="FKL30" s="672"/>
      <c r="FKM30" s="672"/>
      <c r="FKN30" s="672"/>
      <c r="FKO30" s="672"/>
      <c r="FKP30" s="672"/>
      <c r="FKQ30" s="672"/>
      <c r="FKR30" s="672"/>
      <c r="FKS30" s="672"/>
      <c r="FKT30" s="672"/>
      <c r="FKU30" s="672"/>
      <c r="FKV30" s="672"/>
      <c r="FKW30" s="672"/>
      <c r="FKX30" s="672"/>
      <c r="FKY30" s="672"/>
      <c r="FKZ30" s="672"/>
      <c r="FLA30" s="672"/>
      <c r="FLB30" s="672"/>
      <c r="FLC30" s="672"/>
      <c r="FLD30" s="672"/>
      <c r="FLE30" s="672"/>
      <c r="FLF30" s="672"/>
      <c r="FLG30" s="672"/>
      <c r="FLH30" s="672"/>
      <c r="FLI30" s="672"/>
      <c r="FLJ30" s="672"/>
      <c r="FLK30" s="672"/>
      <c r="FLL30" s="672"/>
      <c r="FLM30" s="672"/>
      <c r="FLN30" s="672"/>
      <c r="FLO30" s="672"/>
      <c r="FLP30" s="672"/>
      <c r="FLQ30" s="672"/>
      <c r="FLR30" s="672"/>
      <c r="FLS30" s="672"/>
      <c r="FLT30" s="672"/>
      <c r="FLU30" s="672"/>
      <c r="FLV30" s="672"/>
      <c r="FLW30" s="672"/>
      <c r="FLX30" s="672"/>
      <c r="FLY30" s="672"/>
      <c r="FLZ30" s="672"/>
      <c r="FMA30" s="672"/>
      <c r="FMB30" s="672"/>
      <c r="FMC30" s="672"/>
      <c r="FMD30" s="672"/>
      <c r="FME30" s="672"/>
      <c r="FMF30" s="672"/>
      <c r="FMG30" s="672"/>
      <c r="FMH30" s="672"/>
      <c r="FMI30" s="672"/>
      <c r="FMJ30" s="672"/>
      <c r="FMK30" s="672"/>
      <c r="FML30" s="672"/>
      <c r="FMM30" s="672"/>
      <c r="FMN30" s="672"/>
      <c r="FMO30" s="672"/>
      <c r="FMP30" s="672"/>
      <c r="FMQ30" s="672"/>
      <c r="FMR30" s="672"/>
      <c r="FMS30" s="672"/>
      <c r="FMT30" s="672"/>
      <c r="FMU30" s="672"/>
      <c r="FMV30" s="672"/>
      <c r="FMW30" s="672"/>
      <c r="FMX30" s="672"/>
      <c r="FMY30" s="672"/>
      <c r="FMZ30" s="672"/>
      <c r="FNA30" s="672"/>
      <c r="FNB30" s="672"/>
      <c r="FNC30" s="672"/>
      <c r="FND30" s="672"/>
      <c r="FNE30" s="672"/>
      <c r="FNF30" s="672"/>
      <c r="FNG30" s="672"/>
      <c r="FNH30" s="672"/>
      <c r="FNI30" s="672"/>
      <c r="FNJ30" s="672"/>
      <c r="FNK30" s="672"/>
      <c r="FNL30" s="672"/>
      <c r="FNM30" s="672"/>
      <c r="FNN30" s="672"/>
      <c r="FNO30" s="672"/>
      <c r="FNP30" s="672"/>
      <c r="FNQ30" s="672"/>
      <c r="FNR30" s="672"/>
      <c r="FNS30" s="672"/>
      <c r="FNT30" s="672"/>
      <c r="FNU30" s="672"/>
      <c r="FNV30" s="672"/>
      <c r="FNW30" s="672"/>
      <c r="FNX30" s="672"/>
      <c r="FNY30" s="672"/>
      <c r="FNZ30" s="672"/>
      <c r="FOA30" s="672"/>
      <c r="FOB30" s="672"/>
      <c r="FOC30" s="672"/>
      <c r="FOD30" s="672"/>
      <c r="FOE30" s="672"/>
      <c r="FOF30" s="672"/>
      <c r="FOG30" s="672"/>
      <c r="FOH30" s="672"/>
      <c r="FOI30" s="672"/>
      <c r="FOJ30" s="672"/>
      <c r="FOK30" s="672"/>
      <c r="FOL30" s="672"/>
      <c r="FOM30" s="672"/>
      <c r="FON30" s="672"/>
      <c r="FOO30" s="672"/>
      <c r="FOP30" s="672"/>
      <c r="FOQ30" s="672"/>
      <c r="FOR30" s="672"/>
      <c r="FOS30" s="672"/>
      <c r="FOT30" s="672"/>
      <c r="FOU30" s="672"/>
      <c r="FOV30" s="672"/>
      <c r="FOW30" s="672"/>
      <c r="FOX30" s="672"/>
      <c r="FOY30" s="672"/>
      <c r="FOZ30" s="672"/>
      <c r="FPA30" s="672"/>
      <c r="FPB30" s="672"/>
      <c r="FPC30" s="672"/>
      <c r="FPD30" s="672"/>
      <c r="FPE30" s="672"/>
      <c r="FPF30" s="672"/>
      <c r="FPG30" s="672"/>
      <c r="FPH30" s="672"/>
      <c r="FPI30" s="672"/>
      <c r="FPJ30" s="672"/>
      <c r="FPK30" s="672"/>
      <c r="FPL30" s="672"/>
      <c r="FPM30" s="672"/>
      <c r="FPN30" s="672"/>
      <c r="FPO30" s="672"/>
      <c r="FPP30" s="672"/>
      <c r="FPQ30" s="672"/>
      <c r="FPR30" s="672"/>
      <c r="FPS30" s="672"/>
      <c r="FPT30" s="672"/>
      <c r="FPU30" s="672"/>
      <c r="FPV30" s="672"/>
      <c r="FPW30" s="672"/>
      <c r="FPX30" s="672"/>
      <c r="FPY30" s="672"/>
      <c r="FPZ30" s="672"/>
      <c r="FQA30" s="672"/>
      <c r="FQB30" s="672"/>
      <c r="FQC30" s="672"/>
      <c r="FQD30" s="672"/>
      <c r="FQE30" s="672"/>
      <c r="FQF30" s="672"/>
      <c r="FQG30" s="672"/>
      <c r="FQH30" s="672"/>
      <c r="FQI30" s="672"/>
      <c r="FQJ30" s="672"/>
      <c r="FQK30" s="672"/>
      <c r="FQL30" s="672"/>
      <c r="FQM30" s="672"/>
      <c r="FQN30" s="672"/>
      <c r="FQO30" s="672"/>
      <c r="FQP30" s="672"/>
      <c r="FQQ30" s="672"/>
      <c r="FQR30" s="672"/>
      <c r="FQS30" s="672"/>
      <c r="FQT30" s="672"/>
      <c r="FQU30" s="672"/>
      <c r="FQV30" s="672"/>
      <c r="FQW30" s="672"/>
      <c r="FQX30" s="672"/>
      <c r="FQY30" s="672"/>
      <c r="FQZ30" s="672"/>
      <c r="FRA30" s="672"/>
      <c r="FRB30" s="672"/>
      <c r="FRC30" s="672"/>
      <c r="FRD30" s="672"/>
      <c r="FRE30" s="672"/>
      <c r="FRF30" s="672"/>
      <c r="FRG30" s="672"/>
      <c r="FRH30" s="672"/>
      <c r="FRI30" s="672"/>
      <c r="FRJ30" s="672"/>
      <c r="FRK30" s="672"/>
      <c r="FRL30" s="672"/>
      <c r="FRM30" s="672"/>
      <c r="FRN30" s="672"/>
      <c r="FRO30" s="672"/>
      <c r="FRP30" s="672"/>
      <c r="FRQ30" s="672"/>
      <c r="FRR30" s="672"/>
      <c r="FRS30" s="672"/>
      <c r="FRT30" s="672"/>
      <c r="FRU30" s="672"/>
      <c r="FRV30" s="672"/>
      <c r="FRW30" s="672"/>
      <c r="FRX30" s="672"/>
      <c r="FRY30" s="672"/>
      <c r="FRZ30" s="672"/>
      <c r="FSA30" s="672"/>
      <c r="FSB30" s="672"/>
      <c r="FSC30" s="672"/>
      <c r="FSD30" s="672"/>
      <c r="FSE30" s="672"/>
      <c r="FSF30" s="672"/>
      <c r="FSG30" s="672"/>
      <c r="FSH30" s="672"/>
      <c r="FSI30" s="672"/>
      <c r="FSJ30" s="672"/>
      <c r="FSK30" s="672"/>
      <c r="FSL30" s="672"/>
      <c r="FSM30" s="672"/>
      <c r="FSN30" s="672"/>
      <c r="FSO30" s="672"/>
      <c r="FSP30" s="672"/>
      <c r="FSQ30" s="672"/>
      <c r="FSR30" s="672"/>
      <c r="FSS30" s="672"/>
      <c r="FST30" s="672"/>
      <c r="FSU30" s="672"/>
      <c r="FSV30" s="672"/>
      <c r="FSW30" s="672"/>
      <c r="FSX30" s="672"/>
      <c r="FSY30" s="672"/>
      <c r="FSZ30" s="672"/>
      <c r="FTA30" s="672"/>
      <c r="FTB30" s="672"/>
      <c r="FTC30" s="672"/>
      <c r="FTD30" s="672"/>
      <c r="FTE30" s="672"/>
      <c r="FTF30" s="672"/>
      <c r="FTG30" s="672"/>
      <c r="FTH30" s="672"/>
      <c r="FTI30" s="672"/>
      <c r="FTJ30" s="672"/>
      <c r="FTK30" s="672"/>
      <c r="FTL30" s="672"/>
      <c r="FTM30" s="672"/>
      <c r="FTN30" s="672"/>
      <c r="FTO30" s="672"/>
      <c r="FTP30" s="672"/>
      <c r="FTQ30" s="672"/>
      <c r="FTR30" s="672"/>
      <c r="FTS30" s="672"/>
      <c r="FTT30" s="672"/>
      <c r="FTU30" s="672"/>
      <c r="FTV30" s="672"/>
      <c r="FTW30" s="672"/>
      <c r="FTX30" s="672"/>
      <c r="FTY30" s="672"/>
      <c r="FTZ30" s="672"/>
      <c r="FUA30" s="672"/>
      <c r="FUB30" s="672"/>
      <c r="FUC30" s="672"/>
      <c r="FUD30" s="672"/>
      <c r="FUE30" s="672"/>
      <c r="FUF30" s="672"/>
      <c r="FUG30" s="672"/>
      <c r="FUH30" s="672"/>
      <c r="FUI30" s="672"/>
      <c r="FUJ30" s="672"/>
      <c r="FUK30" s="672"/>
      <c r="FUL30" s="672"/>
      <c r="FUM30" s="672"/>
      <c r="FUN30" s="672"/>
      <c r="FUO30" s="672"/>
      <c r="FUP30" s="672"/>
      <c r="FUQ30" s="672"/>
      <c r="FUR30" s="672"/>
      <c r="FUS30" s="672"/>
      <c r="FUT30" s="672"/>
      <c r="FUU30" s="672"/>
      <c r="FUV30" s="672"/>
      <c r="FUW30" s="672"/>
      <c r="FUX30" s="672"/>
      <c r="FUY30" s="672"/>
      <c r="FUZ30" s="672"/>
      <c r="FVA30" s="672"/>
      <c r="FVB30" s="672"/>
      <c r="FVC30" s="672"/>
      <c r="FVD30" s="672"/>
      <c r="FVE30" s="672"/>
      <c r="FVF30" s="672"/>
      <c r="FVG30" s="672"/>
      <c r="FVH30" s="672"/>
      <c r="FVI30" s="672"/>
      <c r="FVJ30" s="672"/>
      <c r="FVK30" s="672"/>
      <c r="FVL30" s="672"/>
      <c r="FVM30" s="672"/>
      <c r="FVN30" s="672"/>
      <c r="FVO30" s="672"/>
      <c r="FVP30" s="672"/>
      <c r="FVQ30" s="672"/>
      <c r="FVR30" s="672"/>
      <c r="FVS30" s="672"/>
      <c r="FVT30" s="672"/>
      <c r="FVU30" s="672"/>
      <c r="FVV30" s="672"/>
      <c r="FVW30" s="672"/>
      <c r="FVX30" s="672"/>
      <c r="FVY30" s="672"/>
      <c r="FVZ30" s="672"/>
      <c r="FWA30" s="672"/>
      <c r="FWB30" s="672"/>
      <c r="FWC30" s="672"/>
      <c r="FWD30" s="672"/>
      <c r="FWE30" s="672"/>
      <c r="FWF30" s="672"/>
      <c r="FWG30" s="672"/>
      <c r="FWH30" s="672"/>
      <c r="FWI30" s="672"/>
      <c r="FWJ30" s="672"/>
      <c r="FWK30" s="672"/>
      <c r="FWL30" s="672"/>
      <c r="FWM30" s="672"/>
      <c r="FWN30" s="672"/>
      <c r="FWO30" s="672"/>
      <c r="FWP30" s="672"/>
      <c r="FWQ30" s="672"/>
      <c r="FWR30" s="672"/>
      <c r="FWS30" s="672"/>
      <c r="FWT30" s="672"/>
      <c r="FWU30" s="672"/>
      <c r="FWV30" s="672"/>
      <c r="FWW30" s="672"/>
      <c r="FWX30" s="672"/>
      <c r="FWY30" s="672"/>
      <c r="FWZ30" s="672"/>
      <c r="FXA30" s="672"/>
      <c r="FXB30" s="672"/>
      <c r="FXC30" s="672"/>
      <c r="FXD30" s="672"/>
      <c r="FXE30" s="672"/>
      <c r="FXF30" s="672"/>
      <c r="FXG30" s="672"/>
      <c r="FXH30" s="672"/>
      <c r="FXI30" s="672"/>
      <c r="FXJ30" s="672"/>
      <c r="FXK30" s="672"/>
      <c r="FXL30" s="672"/>
      <c r="FXM30" s="672"/>
      <c r="FXN30" s="672"/>
      <c r="FXO30" s="672"/>
      <c r="FXP30" s="672"/>
      <c r="FXQ30" s="672"/>
      <c r="FXR30" s="672"/>
      <c r="FXS30" s="672"/>
      <c r="FXT30" s="672"/>
      <c r="FXU30" s="672"/>
      <c r="FXV30" s="672"/>
      <c r="FXW30" s="672"/>
      <c r="FXX30" s="672"/>
      <c r="FXY30" s="672"/>
      <c r="FXZ30" s="672"/>
      <c r="FYA30" s="672"/>
      <c r="FYB30" s="672"/>
      <c r="FYC30" s="672"/>
      <c r="FYD30" s="672"/>
      <c r="FYE30" s="672"/>
      <c r="FYF30" s="672"/>
      <c r="FYG30" s="672"/>
      <c r="FYH30" s="672"/>
      <c r="FYI30" s="672"/>
      <c r="FYJ30" s="672"/>
      <c r="FYK30" s="672"/>
      <c r="FYL30" s="672"/>
      <c r="FYM30" s="672"/>
      <c r="FYN30" s="672"/>
      <c r="FYO30" s="672"/>
      <c r="FYP30" s="672"/>
      <c r="FYQ30" s="672"/>
      <c r="FYR30" s="672"/>
      <c r="FYS30" s="672"/>
      <c r="FYT30" s="672"/>
      <c r="FYU30" s="672"/>
      <c r="FYV30" s="672"/>
      <c r="FYW30" s="672"/>
      <c r="FYX30" s="672"/>
      <c r="FYY30" s="672"/>
      <c r="FYZ30" s="672"/>
      <c r="FZA30" s="672"/>
      <c r="FZB30" s="672"/>
      <c r="FZC30" s="672"/>
      <c r="FZD30" s="672"/>
      <c r="FZE30" s="672"/>
      <c r="FZF30" s="672"/>
      <c r="FZG30" s="672"/>
      <c r="FZH30" s="672"/>
      <c r="FZI30" s="672"/>
      <c r="FZJ30" s="672"/>
      <c r="FZK30" s="672"/>
      <c r="FZL30" s="672"/>
      <c r="FZM30" s="672"/>
      <c r="FZN30" s="672"/>
      <c r="FZO30" s="672"/>
      <c r="FZP30" s="672"/>
      <c r="FZQ30" s="672"/>
      <c r="FZR30" s="672"/>
      <c r="FZS30" s="672"/>
      <c r="FZT30" s="672"/>
      <c r="FZU30" s="672"/>
      <c r="FZV30" s="672"/>
      <c r="FZW30" s="672"/>
      <c r="FZX30" s="672"/>
      <c r="FZY30" s="672"/>
      <c r="FZZ30" s="672"/>
      <c r="GAA30" s="672"/>
      <c r="GAB30" s="672"/>
      <c r="GAC30" s="672"/>
      <c r="GAD30" s="672"/>
      <c r="GAE30" s="672"/>
      <c r="GAF30" s="672"/>
      <c r="GAG30" s="672"/>
      <c r="GAH30" s="672"/>
      <c r="GAI30" s="672"/>
      <c r="GAJ30" s="672"/>
      <c r="GAK30" s="672"/>
      <c r="GAL30" s="672"/>
      <c r="GAM30" s="672"/>
      <c r="GAN30" s="672"/>
      <c r="GAO30" s="672"/>
      <c r="GAP30" s="672"/>
      <c r="GAQ30" s="672"/>
      <c r="GAR30" s="672"/>
      <c r="GAS30" s="672"/>
      <c r="GAT30" s="672"/>
      <c r="GAU30" s="672"/>
      <c r="GAV30" s="672"/>
      <c r="GAW30" s="672"/>
      <c r="GAX30" s="672"/>
      <c r="GAY30" s="672"/>
      <c r="GAZ30" s="672"/>
      <c r="GBA30" s="672"/>
      <c r="GBB30" s="672"/>
      <c r="GBC30" s="672"/>
      <c r="GBD30" s="672"/>
      <c r="GBE30" s="672"/>
      <c r="GBF30" s="672"/>
      <c r="GBG30" s="672"/>
      <c r="GBH30" s="672"/>
      <c r="GBI30" s="672"/>
      <c r="GBJ30" s="672"/>
      <c r="GBK30" s="672"/>
      <c r="GBL30" s="672"/>
      <c r="GBM30" s="672"/>
      <c r="GBN30" s="672"/>
      <c r="GBO30" s="672"/>
      <c r="GBP30" s="672"/>
      <c r="GBQ30" s="672"/>
      <c r="GBR30" s="672"/>
      <c r="GBS30" s="672"/>
      <c r="GBT30" s="672"/>
      <c r="GBU30" s="672"/>
      <c r="GBV30" s="672"/>
      <c r="GBW30" s="672"/>
      <c r="GBX30" s="672"/>
      <c r="GBY30" s="672"/>
      <c r="GBZ30" s="672"/>
      <c r="GCA30" s="672"/>
      <c r="GCB30" s="672"/>
      <c r="GCC30" s="672"/>
      <c r="GCD30" s="672"/>
      <c r="GCE30" s="672"/>
      <c r="GCF30" s="672"/>
      <c r="GCG30" s="672"/>
      <c r="GCH30" s="672"/>
      <c r="GCI30" s="672"/>
      <c r="GCJ30" s="672"/>
      <c r="GCK30" s="672"/>
      <c r="GCL30" s="672"/>
      <c r="GCM30" s="672"/>
      <c r="GCN30" s="672"/>
      <c r="GCO30" s="672"/>
      <c r="GCP30" s="672"/>
      <c r="GCQ30" s="672"/>
      <c r="GCR30" s="672"/>
      <c r="GCS30" s="672"/>
      <c r="GCT30" s="672"/>
      <c r="GCU30" s="672"/>
      <c r="GCV30" s="672"/>
      <c r="GCW30" s="672"/>
      <c r="GCX30" s="672"/>
      <c r="GCY30" s="672"/>
      <c r="GCZ30" s="672"/>
      <c r="GDA30" s="672"/>
      <c r="GDB30" s="672"/>
      <c r="GDC30" s="672"/>
      <c r="GDD30" s="672"/>
      <c r="GDE30" s="672"/>
      <c r="GDF30" s="672"/>
      <c r="GDG30" s="672"/>
      <c r="GDH30" s="672"/>
      <c r="GDI30" s="672"/>
      <c r="GDJ30" s="672"/>
      <c r="GDK30" s="672"/>
      <c r="GDL30" s="672"/>
      <c r="GDM30" s="672"/>
      <c r="GDN30" s="672"/>
      <c r="GDO30" s="672"/>
      <c r="GDP30" s="672"/>
      <c r="GDQ30" s="672"/>
      <c r="GDR30" s="672"/>
      <c r="GDS30" s="672"/>
      <c r="GDT30" s="672"/>
      <c r="GDU30" s="672"/>
      <c r="GDV30" s="672"/>
      <c r="GDW30" s="672"/>
      <c r="GDX30" s="672"/>
      <c r="GDY30" s="672"/>
      <c r="GDZ30" s="672"/>
      <c r="GEA30" s="672"/>
      <c r="GEB30" s="672"/>
      <c r="GEC30" s="672"/>
      <c r="GED30" s="672"/>
      <c r="GEE30" s="672"/>
      <c r="GEF30" s="672"/>
      <c r="GEG30" s="672"/>
      <c r="GEH30" s="672"/>
      <c r="GEI30" s="672"/>
      <c r="GEJ30" s="672"/>
      <c r="GEK30" s="672"/>
      <c r="GEL30" s="672"/>
      <c r="GEM30" s="672"/>
      <c r="GEN30" s="672"/>
      <c r="GEO30" s="672"/>
      <c r="GEP30" s="672"/>
      <c r="GEQ30" s="672"/>
      <c r="GER30" s="672"/>
      <c r="GES30" s="672"/>
      <c r="GET30" s="672"/>
      <c r="GEU30" s="672"/>
      <c r="GEV30" s="672"/>
      <c r="GEW30" s="672"/>
      <c r="GEX30" s="672"/>
      <c r="GEY30" s="672"/>
      <c r="GEZ30" s="672"/>
      <c r="GFA30" s="672"/>
      <c r="GFB30" s="672"/>
      <c r="GFC30" s="672"/>
      <c r="GFD30" s="672"/>
      <c r="GFE30" s="672"/>
      <c r="GFF30" s="672"/>
      <c r="GFG30" s="672"/>
      <c r="GFH30" s="672"/>
      <c r="GFI30" s="672"/>
      <c r="GFJ30" s="672"/>
      <c r="GFK30" s="672"/>
      <c r="GFL30" s="672"/>
      <c r="GFM30" s="672"/>
      <c r="GFN30" s="672"/>
      <c r="GFO30" s="672"/>
      <c r="GFP30" s="672"/>
      <c r="GFQ30" s="672"/>
      <c r="GFR30" s="672"/>
      <c r="GFS30" s="672"/>
      <c r="GFT30" s="672"/>
      <c r="GFU30" s="672"/>
      <c r="GFV30" s="672"/>
      <c r="GFW30" s="672"/>
      <c r="GFX30" s="672"/>
      <c r="GFY30" s="672"/>
      <c r="GFZ30" s="672"/>
      <c r="GGA30" s="672"/>
      <c r="GGB30" s="672"/>
      <c r="GGC30" s="672"/>
      <c r="GGD30" s="672"/>
      <c r="GGE30" s="672"/>
      <c r="GGF30" s="672"/>
      <c r="GGG30" s="672"/>
      <c r="GGH30" s="672"/>
      <c r="GGI30" s="672"/>
      <c r="GGJ30" s="672"/>
      <c r="GGK30" s="672"/>
      <c r="GGL30" s="672"/>
      <c r="GGM30" s="672"/>
      <c r="GGN30" s="672"/>
      <c r="GGO30" s="672"/>
      <c r="GGP30" s="672"/>
      <c r="GGQ30" s="672"/>
      <c r="GGR30" s="672"/>
      <c r="GGS30" s="672"/>
      <c r="GGT30" s="672"/>
      <c r="GGU30" s="672"/>
      <c r="GGV30" s="672"/>
      <c r="GGW30" s="672"/>
      <c r="GGX30" s="672"/>
      <c r="GGY30" s="672"/>
      <c r="GGZ30" s="672"/>
      <c r="GHA30" s="672"/>
      <c r="GHB30" s="672"/>
      <c r="GHC30" s="672"/>
      <c r="GHD30" s="672"/>
      <c r="GHE30" s="672"/>
      <c r="GHF30" s="672"/>
      <c r="GHG30" s="672"/>
      <c r="GHH30" s="672"/>
      <c r="GHI30" s="672"/>
      <c r="GHJ30" s="672"/>
      <c r="GHK30" s="672"/>
      <c r="GHL30" s="672"/>
      <c r="GHM30" s="672"/>
      <c r="GHN30" s="672"/>
      <c r="GHO30" s="672"/>
      <c r="GHP30" s="672"/>
      <c r="GHQ30" s="672"/>
      <c r="GHR30" s="672"/>
      <c r="GHS30" s="672"/>
      <c r="GHT30" s="672"/>
      <c r="GHU30" s="672"/>
      <c r="GHV30" s="672"/>
      <c r="GHW30" s="672"/>
      <c r="GHX30" s="672"/>
      <c r="GHY30" s="672"/>
      <c r="GHZ30" s="672"/>
      <c r="GIA30" s="672"/>
      <c r="GIB30" s="672"/>
      <c r="GIC30" s="672"/>
      <c r="GID30" s="672"/>
      <c r="GIE30" s="672"/>
      <c r="GIF30" s="672"/>
      <c r="GIG30" s="672"/>
      <c r="GIH30" s="672"/>
      <c r="GII30" s="672"/>
      <c r="GIJ30" s="672"/>
      <c r="GIK30" s="672"/>
      <c r="GIL30" s="672"/>
      <c r="GIM30" s="672"/>
      <c r="GIN30" s="672"/>
      <c r="GIO30" s="672"/>
      <c r="GIP30" s="672"/>
      <c r="GIQ30" s="672"/>
      <c r="GIR30" s="672"/>
      <c r="GIS30" s="672"/>
      <c r="GIT30" s="672"/>
      <c r="GIU30" s="672"/>
      <c r="GIV30" s="672"/>
      <c r="GIW30" s="672"/>
      <c r="GIX30" s="672"/>
      <c r="GIY30" s="672"/>
      <c r="GIZ30" s="672"/>
      <c r="GJA30" s="672"/>
      <c r="GJB30" s="672"/>
      <c r="GJC30" s="672"/>
      <c r="GJD30" s="672"/>
      <c r="GJE30" s="672"/>
      <c r="GJF30" s="672"/>
      <c r="GJG30" s="672"/>
      <c r="GJH30" s="672"/>
      <c r="GJI30" s="672"/>
      <c r="GJJ30" s="672"/>
      <c r="GJK30" s="672"/>
      <c r="GJL30" s="672"/>
      <c r="GJM30" s="672"/>
      <c r="GJN30" s="672"/>
      <c r="GJO30" s="672"/>
      <c r="GJP30" s="672"/>
      <c r="GJQ30" s="672"/>
      <c r="GJR30" s="672"/>
      <c r="GJS30" s="672"/>
      <c r="GJT30" s="672"/>
      <c r="GJU30" s="672"/>
      <c r="GJV30" s="672"/>
      <c r="GJW30" s="672"/>
      <c r="GJX30" s="672"/>
      <c r="GJY30" s="672"/>
      <c r="GJZ30" s="672"/>
      <c r="GKA30" s="672"/>
      <c r="GKB30" s="672"/>
      <c r="GKC30" s="672"/>
      <c r="GKD30" s="672"/>
      <c r="GKE30" s="672"/>
      <c r="GKF30" s="672"/>
      <c r="GKG30" s="672"/>
      <c r="GKH30" s="672"/>
      <c r="GKI30" s="672"/>
      <c r="GKJ30" s="672"/>
      <c r="GKK30" s="672"/>
      <c r="GKL30" s="672"/>
      <c r="GKM30" s="672"/>
      <c r="GKN30" s="672"/>
      <c r="GKO30" s="672"/>
      <c r="GKP30" s="672"/>
      <c r="GKQ30" s="672"/>
      <c r="GKR30" s="672"/>
      <c r="GKS30" s="672"/>
      <c r="GKT30" s="672"/>
      <c r="GKU30" s="672"/>
      <c r="GKV30" s="672"/>
      <c r="GKW30" s="672"/>
      <c r="GKX30" s="672"/>
      <c r="GKY30" s="672"/>
      <c r="GKZ30" s="672"/>
      <c r="GLA30" s="672"/>
      <c r="GLB30" s="672"/>
      <c r="GLC30" s="672"/>
      <c r="GLD30" s="672"/>
      <c r="GLE30" s="672"/>
      <c r="GLF30" s="672"/>
      <c r="GLG30" s="672"/>
      <c r="GLH30" s="672"/>
      <c r="GLI30" s="672"/>
      <c r="GLJ30" s="672"/>
      <c r="GLK30" s="672"/>
      <c r="GLL30" s="672"/>
      <c r="GLM30" s="672"/>
      <c r="GLN30" s="672"/>
      <c r="GLO30" s="672"/>
      <c r="GLP30" s="672"/>
      <c r="GLQ30" s="672"/>
      <c r="GLR30" s="672"/>
      <c r="GLS30" s="672"/>
      <c r="GLT30" s="672"/>
      <c r="GLU30" s="672"/>
      <c r="GLV30" s="672"/>
      <c r="GLW30" s="672"/>
      <c r="GLX30" s="672"/>
      <c r="GLY30" s="672"/>
      <c r="GLZ30" s="672"/>
      <c r="GMA30" s="672"/>
      <c r="GMB30" s="672"/>
      <c r="GMC30" s="672"/>
      <c r="GMD30" s="672"/>
      <c r="GME30" s="672"/>
      <c r="GMF30" s="672"/>
      <c r="GMG30" s="672"/>
      <c r="GMH30" s="672"/>
      <c r="GMI30" s="672"/>
      <c r="GMJ30" s="672"/>
      <c r="GMK30" s="672"/>
      <c r="GML30" s="672"/>
      <c r="GMM30" s="672"/>
      <c r="GMN30" s="672"/>
      <c r="GMO30" s="672"/>
      <c r="GMP30" s="672"/>
      <c r="GMQ30" s="672"/>
      <c r="GMR30" s="672"/>
      <c r="GMS30" s="672"/>
      <c r="GMT30" s="672"/>
      <c r="GMU30" s="672"/>
      <c r="GMV30" s="672"/>
      <c r="GMW30" s="672"/>
      <c r="GMX30" s="672"/>
      <c r="GMY30" s="672"/>
      <c r="GMZ30" s="672"/>
      <c r="GNA30" s="672"/>
      <c r="GNB30" s="672"/>
      <c r="GNC30" s="672"/>
      <c r="GND30" s="672"/>
      <c r="GNE30" s="672"/>
      <c r="GNF30" s="672"/>
      <c r="GNG30" s="672"/>
      <c r="GNH30" s="672"/>
      <c r="GNI30" s="672"/>
      <c r="GNJ30" s="672"/>
      <c r="GNK30" s="672"/>
      <c r="GNL30" s="672"/>
      <c r="GNM30" s="672"/>
      <c r="GNN30" s="672"/>
      <c r="GNO30" s="672"/>
      <c r="GNP30" s="672"/>
      <c r="GNQ30" s="672"/>
      <c r="GNR30" s="672"/>
      <c r="GNS30" s="672"/>
      <c r="GNT30" s="672"/>
      <c r="GNU30" s="672"/>
      <c r="GNV30" s="672"/>
      <c r="GNW30" s="672"/>
      <c r="GNX30" s="672"/>
      <c r="GNY30" s="672"/>
      <c r="GNZ30" s="672"/>
      <c r="GOA30" s="672"/>
      <c r="GOB30" s="672"/>
      <c r="GOC30" s="672"/>
      <c r="GOD30" s="672"/>
      <c r="GOE30" s="672"/>
      <c r="GOF30" s="672"/>
      <c r="GOG30" s="672"/>
      <c r="GOH30" s="672"/>
      <c r="GOI30" s="672"/>
      <c r="GOJ30" s="672"/>
      <c r="GOK30" s="672"/>
      <c r="GOL30" s="672"/>
      <c r="GOM30" s="672"/>
      <c r="GON30" s="672"/>
      <c r="GOO30" s="672"/>
      <c r="GOP30" s="672"/>
      <c r="GOQ30" s="672"/>
      <c r="GOR30" s="672"/>
      <c r="GOS30" s="672"/>
      <c r="GOT30" s="672"/>
      <c r="GOU30" s="672"/>
      <c r="GOV30" s="672"/>
      <c r="GOW30" s="672"/>
      <c r="GOX30" s="672"/>
      <c r="GOY30" s="672"/>
      <c r="GOZ30" s="672"/>
      <c r="GPA30" s="672"/>
      <c r="GPB30" s="672"/>
      <c r="GPC30" s="672"/>
      <c r="GPD30" s="672"/>
      <c r="GPE30" s="672"/>
      <c r="GPF30" s="672"/>
      <c r="GPG30" s="672"/>
      <c r="GPH30" s="672"/>
      <c r="GPI30" s="672"/>
      <c r="GPJ30" s="672"/>
      <c r="GPK30" s="672"/>
      <c r="GPL30" s="672"/>
      <c r="GPM30" s="672"/>
      <c r="GPN30" s="672"/>
      <c r="GPO30" s="672"/>
      <c r="GPP30" s="672"/>
      <c r="GPQ30" s="672"/>
      <c r="GPR30" s="672"/>
      <c r="GPS30" s="672"/>
      <c r="GPT30" s="672"/>
      <c r="GPU30" s="672"/>
      <c r="GPV30" s="672"/>
      <c r="GPW30" s="672"/>
      <c r="GPX30" s="672"/>
      <c r="GPY30" s="672"/>
      <c r="GPZ30" s="672"/>
      <c r="GQA30" s="672"/>
      <c r="GQB30" s="672"/>
      <c r="GQC30" s="672"/>
      <c r="GQD30" s="672"/>
      <c r="GQE30" s="672"/>
      <c r="GQF30" s="672"/>
      <c r="GQG30" s="672"/>
      <c r="GQH30" s="672"/>
      <c r="GQI30" s="672"/>
      <c r="GQJ30" s="672"/>
      <c r="GQK30" s="672"/>
      <c r="GQL30" s="672"/>
      <c r="GQM30" s="672"/>
      <c r="GQN30" s="672"/>
      <c r="GQO30" s="672"/>
      <c r="GQP30" s="672"/>
      <c r="GQQ30" s="672"/>
      <c r="GQR30" s="672"/>
      <c r="GQS30" s="672"/>
      <c r="GQT30" s="672"/>
      <c r="GQU30" s="672"/>
      <c r="GQV30" s="672"/>
      <c r="GQW30" s="672"/>
      <c r="GQX30" s="672"/>
      <c r="GQY30" s="672"/>
      <c r="GQZ30" s="672"/>
      <c r="GRA30" s="672"/>
      <c r="GRB30" s="672"/>
      <c r="GRC30" s="672"/>
      <c r="GRD30" s="672"/>
      <c r="GRE30" s="672"/>
      <c r="GRF30" s="672"/>
      <c r="GRG30" s="672"/>
      <c r="GRH30" s="672"/>
      <c r="GRI30" s="672"/>
      <c r="GRJ30" s="672"/>
      <c r="GRK30" s="672"/>
      <c r="GRL30" s="672"/>
      <c r="GRM30" s="672"/>
      <c r="GRN30" s="672"/>
      <c r="GRO30" s="672"/>
      <c r="GRP30" s="672"/>
      <c r="GRQ30" s="672"/>
      <c r="GRR30" s="672"/>
      <c r="GRS30" s="672"/>
      <c r="GRT30" s="672"/>
      <c r="GRU30" s="672"/>
      <c r="GRV30" s="672"/>
      <c r="GRW30" s="672"/>
      <c r="GRX30" s="672"/>
      <c r="GRY30" s="672"/>
      <c r="GRZ30" s="672"/>
      <c r="GSA30" s="672"/>
      <c r="GSB30" s="672"/>
      <c r="GSC30" s="672"/>
      <c r="GSD30" s="672"/>
      <c r="GSE30" s="672"/>
      <c r="GSF30" s="672"/>
      <c r="GSG30" s="672"/>
      <c r="GSH30" s="672"/>
      <c r="GSI30" s="672"/>
      <c r="GSJ30" s="672"/>
      <c r="GSK30" s="672"/>
      <c r="GSL30" s="672"/>
      <c r="GSM30" s="672"/>
      <c r="GSN30" s="672"/>
      <c r="GSO30" s="672"/>
      <c r="GSP30" s="672"/>
      <c r="GSQ30" s="672"/>
      <c r="GSR30" s="672"/>
      <c r="GSS30" s="672"/>
      <c r="GST30" s="672"/>
      <c r="GSU30" s="672"/>
      <c r="GSV30" s="672"/>
      <c r="GSW30" s="672"/>
      <c r="GSX30" s="672"/>
      <c r="GSY30" s="672"/>
      <c r="GSZ30" s="672"/>
      <c r="GTA30" s="672"/>
      <c r="GTB30" s="672"/>
      <c r="GTC30" s="672"/>
      <c r="GTD30" s="672"/>
      <c r="GTE30" s="672"/>
      <c r="GTF30" s="672"/>
      <c r="GTG30" s="672"/>
      <c r="GTH30" s="672"/>
      <c r="GTI30" s="672"/>
      <c r="GTJ30" s="672"/>
      <c r="GTK30" s="672"/>
      <c r="GTL30" s="672"/>
      <c r="GTM30" s="672"/>
      <c r="GTN30" s="672"/>
      <c r="GTO30" s="672"/>
      <c r="GTP30" s="672"/>
      <c r="GTQ30" s="672"/>
      <c r="GTR30" s="672"/>
      <c r="GTS30" s="672"/>
      <c r="GTT30" s="672"/>
      <c r="GTU30" s="672"/>
      <c r="GTV30" s="672"/>
      <c r="GTW30" s="672"/>
      <c r="GTX30" s="672"/>
      <c r="GTY30" s="672"/>
      <c r="GTZ30" s="672"/>
      <c r="GUA30" s="672"/>
      <c r="GUB30" s="672"/>
      <c r="GUC30" s="672"/>
      <c r="GUD30" s="672"/>
      <c r="GUE30" s="672"/>
      <c r="GUF30" s="672"/>
      <c r="GUG30" s="672"/>
      <c r="GUH30" s="672"/>
      <c r="GUI30" s="672"/>
      <c r="GUJ30" s="672"/>
      <c r="GUK30" s="672"/>
      <c r="GUL30" s="672"/>
      <c r="GUM30" s="672"/>
      <c r="GUN30" s="672"/>
      <c r="GUO30" s="672"/>
      <c r="GUP30" s="672"/>
      <c r="GUQ30" s="672"/>
      <c r="GUR30" s="672"/>
      <c r="GUS30" s="672"/>
      <c r="GUT30" s="672"/>
      <c r="GUU30" s="672"/>
      <c r="GUV30" s="672"/>
      <c r="GUW30" s="672"/>
      <c r="GUX30" s="672"/>
      <c r="GUY30" s="672"/>
      <c r="GUZ30" s="672"/>
      <c r="GVA30" s="672"/>
      <c r="GVB30" s="672"/>
      <c r="GVC30" s="672"/>
      <c r="GVD30" s="672"/>
      <c r="GVE30" s="672"/>
      <c r="GVF30" s="672"/>
      <c r="GVG30" s="672"/>
      <c r="GVH30" s="672"/>
      <c r="GVI30" s="672"/>
      <c r="GVJ30" s="672"/>
      <c r="GVK30" s="672"/>
      <c r="GVL30" s="672"/>
      <c r="GVM30" s="672"/>
      <c r="GVN30" s="672"/>
      <c r="GVO30" s="672"/>
      <c r="GVP30" s="672"/>
      <c r="GVQ30" s="672"/>
      <c r="GVR30" s="672"/>
      <c r="GVS30" s="672"/>
      <c r="GVT30" s="672"/>
      <c r="GVU30" s="672"/>
      <c r="GVV30" s="672"/>
      <c r="GVW30" s="672"/>
      <c r="GVX30" s="672"/>
      <c r="GVY30" s="672"/>
      <c r="GVZ30" s="672"/>
      <c r="GWA30" s="672"/>
      <c r="GWB30" s="672"/>
      <c r="GWC30" s="672"/>
      <c r="GWD30" s="672"/>
      <c r="GWE30" s="672"/>
      <c r="GWF30" s="672"/>
      <c r="GWG30" s="672"/>
      <c r="GWH30" s="672"/>
      <c r="GWI30" s="672"/>
      <c r="GWJ30" s="672"/>
      <c r="GWK30" s="672"/>
      <c r="GWL30" s="672"/>
      <c r="GWM30" s="672"/>
      <c r="GWN30" s="672"/>
      <c r="GWO30" s="672"/>
      <c r="GWP30" s="672"/>
      <c r="GWQ30" s="672"/>
      <c r="GWR30" s="672"/>
      <c r="GWS30" s="672"/>
      <c r="GWT30" s="672"/>
      <c r="GWU30" s="672"/>
      <c r="GWV30" s="672"/>
      <c r="GWW30" s="672"/>
      <c r="GWX30" s="672"/>
      <c r="GWY30" s="672"/>
      <c r="GWZ30" s="672"/>
      <c r="GXA30" s="672"/>
      <c r="GXB30" s="672"/>
      <c r="GXC30" s="672"/>
      <c r="GXD30" s="672"/>
      <c r="GXE30" s="672"/>
      <c r="GXF30" s="672"/>
      <c r="GXG30" s="672"/>
      <c r="GXH30" s="672"/>
      <c r="GXI30" s="672"/>
      <c r="GXJ30" s="672"/>
      <c r="GXK30" s="672"/>
      <c r="GXL30" s="672"/>
      <c r="GXM30" s="672"/>
      <c r="GXN30" s="672"/>
      <c r="GXO30" s="672"/>
      <c r="GXP30" s="672"/>
      <c r="GXQ30" s="672"/>
      <c r="GXR30" s="672"/>
      <c r="GXS30" s="672"/>
      <c r="GXT30" s="672"/>
      <c r="GXU30" s="672"/>
      <c r="GXV30" s="672"/>
      <c r="GXW30" s="672"/>
      <c r="GXX30" s="672"/>
      <c r="GXY30" s="672"/>
      <c r="GXZ30" s="672"/>
      <c r="GYA30" s="672"/>
      <c r="GYB30" s="672"/>
      <c r="GYC30" s="672"/>
      <c r="GYD30" s="672"/>
      <c r="GYE30" s="672"/>
      <c r="GYF30" s="672"/>
      <c r="GYG30" s="672"/>
      <c r="GYH30" s="672"/>
      <c r="GYI30" s="672"/>
      <c r="GYJ30" s="672"/>
      <c r="GYK30" s="672"/>
      <c r="GYL30" s="672"/>
      <c r="GYM30" s="672"/>
      <c r="GYN30" s="672"/>
      <c r="GYO30" s="672"/>
      <c r="GYP30" s="672"/>
      <c r="GYQ30" s="672"/>
      <c r="GYR30" s="672"/>
      <c r="GYS30" s="672"/>
      <c r="GYT30" s="672"/>
      <c r="GYU30" s="672"/>
      <c r="GYV30" s="672"/>
      <c r="GYW30" s="672"/>
      <c r="GYX30" s="672"/>
      <c r="GYY30" s="672"/>
      <c r="GYZ30" s="672"/>
      <c r="GZA30" s="672"/>
      <c r="GZB30" s="672"/>
      <c r="GZC30" s="672"/>
      <c r="GZD30" s="672"/>
      <c r="GZE30" s="672"/>
      <c r="GZF30" s="672"/>
      <c r="GZG30" s="672"/>
      <c r="GZH30" s="672"/>
      <c r="GZI30" s="672"/>
      <c r="GZJ30" s="672"/>
      <c r="GZK30" s="672"/>
      <c r="GZL30" s="672"/>
      <c r="GZM30" s="672"/>
      <c r="GZN30" s="672"/>
      <c r="GZO30" s="672"/>
      <c r="GZP30" s="672"/>
      <c r="GZQ30" s="672"/>
      <c r="GZR30" s="672"/>
      <c r="GZS30" s="672"/>
      <c r="GZT30" s="672"/>
      <c r="GZU30" s="672"/>
      <c r="GZV30" s="672"/>
      <c r="GZW30" s="672"/>
      <c r="GZX30" s="672"/>
      <c r="GZY30" s="672"/>
      <c r="GZZ30" s="672"/>
      <c r="HAA30" s="672"/>
      <c r="HAB30" s="672"/>
      <c r="HAC30" s="672"/>
      <c r="HAD30" s="672"/>
      <c r="HAE30" s="672"/>
      <c r="HAF30" s="672"/>
      <c r="HAG30" s="672"/>
      <c r="HAH30" s="672"/>
      <c r="HAI30" s="672"/>
      <c r="HAJ30" s="672"/>
      <c r="HAK30" s="672"/>
      <c r="HAL30" s="672"/>
      <c r="HAM30" s="672"/>
      <c r="HAN30" s="672"/>
      <c r="HAO30" s="672"/>
      <c r="HAP30" s="672"/>
      <c r="HAQ30" s="672"/>
      <c r="HAR30" s="672"/>
      <c r="HAS30" s="672"/>
      <c r="HAT30" s="672"/>
      <c r="HAU30" s="672"/>
      <c r="HAV30" s="672"/>
      <c r="HAW30" s="672"/>
      <c r="HAX30" s="672"/>
      <c r="HAY30" s="672"/>
      <c r="HAZ30" s="672"/>
      <c r="HBA30" s="672"/>
      <c r="HBB30" s="672"/>
      <c r="HBC30" s="672"/>
      <c r="HBD30" s="672"/>
      <c r="HBE30" s="672"/>
      <c r="HBF30" s="672"/>
      <c r="HBG30" s="672"/>
      <c r="HBH30" s="672"/>
      <c r="HBI30" s="672"/>
      <c r="HBJ30" s="672"/>
      <c r="HBK30" s="672"/>
      <c r="HBL30" s="672"/>
      <c r="HBM30" s="672"/>
      <c r="HBN30" s="672"/>
      <c r="HBO30" s="672"/>
      <c r="HBP30" s="672"/>
      <c r="HBQ30" s="672"/>
      <c r="HBR30" s="672"/>
      <c r="HBS30" s="672"/>
      <c r="HBT30" s="672"/>
      <c r="HBU30" s="672"/>
      <c r="HBV30" s="672"/>
      <c r="HBW30" s="672"/>
      <c r="HBX30" s="672"/>
      <c r="HBY30" s="672"/>
      <c r="HBZ30" s="672"/>
      <c r="HCA30" s="672"/>
      <c r="HCB30" s="672"/>
      <c r="HCC30" s="672"/>
      <c r="HCD30" s="672"/>
      <c r="HCE30" s="672"/>
      <c r="HCF30" s="672"/>
      <c r="HCG30" s="672"/>
      <c r="HCH30" s="672"/>
      <c r="HCI30" s="672"/>
      <c r="HCJ30" s="672"/>
      <c r="HCK30" s="672"/>
      <c r="HCL30" s="672"/>
      <c r="HCM30" s="672"/>
      <c r="HCN30" s="672"/>
      <c r="HCO30" s="672"/>
      <c r="HCP30" s="672"/>
      <c r="HCQ30" s="672"/>
      <c r="HCR30" s="672"/>
      <c r="HCS30" s="672"/>
      <c r="HCT30" s="672"/>
      <c r="HCU30" s="672"/>
      <c r="HCV30" s="672"/>
      <c r="HCW30" s="672"/>
      <c r="HCX30" s="672"/>
      <c r="HCY30" s="672"/>
      <c r="HCZ30" s="672"/>
      <c r="HDA30" s="672"/>
      <c r="HDB30" s="672"/>
      <c r="HDC30" s="672"/>
      <c r="HDD30" s="672"/>
      <c r="HDE30" s="672"/>
      <c r="HDF30" s="672"/>
      <c r="HDG30" s="672"/>
      <c r="HDH30" s="672"/>
      <c r="HDI30" s="672"/>
      <c r="HDJ30" s="672"/>
      <c r="HDK30" s="672"/>
      <c r="HDL30" s="672"/>
      <c r="HDM30" s="672"/>
      <c r="HDN30" s="672"/>
      <c r="HDO30" s="672"/>
      <c r="HDP30" s="672"/>
      <c r="HDQ30" s="672"/>
      <c r="HDR30" s="672"/>
      <c r="HDS30" s="672"/>
      <c r="HDT30" s="672"/>
      <c r="HDU30" s="672"/>
      <c r="HDV30" s="672"/>
      <c r="HDW30" s="672"/>
      <c r="HDX30" s="672"/>
      <c r="HDY30" s="672"/>
      <c r="HDZ30" s="672"/>
      <c r="HEA30" s="672"/>
      <c r="HEB30" s="672"/>
      <c r="HEC30" s="672"/>
      <c r="HED30" s="672"/>
      <c r="HEE30" s="672"/>
      <c r="HEF30" s="672"/>
      <c r="HEG30" s="672"/>
      <c r="HEH30" s="672"/>
      <c r="HEI30" s="672"/>
      <c r="HEJ30" s="672"/>
      <c r="HEK30" s="672"/>
      <c r="HEL30" s="672"/>
      <c r="HEM30" s="672"/>
      <c r="HEN30" s="672"/>
      <c r="HEO30" s="672"/>
      <c r="HEP30" s="672"/>
      <c r="HEQ30" s="672"/>
      <c r="HER30" s="672"/>
      <c r="HES30" s="672"/>
      <c r="HET30" s="672"/>
      <c r="HEU30" s="672"/>
      <c r="HEV30" s="672"/>
      <c r="HEW30" s="672"/>
      <c r="HEX30" s="672"/>
      <c r="HEY30" s="672"/>
      <c r="HEZ30" s="672"/>
      <c r="HFA30" s="672"/>
      <c r="HFB30" s="672"/>
      <c r="HFC30" s="672"/>
      <c r="HFD30" s="672"/>
      <c r="HFE30" s="672"/>
      <c r="HFF30" s="672"/>
      <c r="HFG30" s="672"/>
      <c r="HFH30" s="672"/>
      <c r="HFI30" s="672"/>
      <c r="HFJ30" s="672"/>
      <c r="HFK30" s="672"/>
      <c r="HFL30" s="672"/>
      <c r="HFM30" s="672"/>
      <c r="HFN30" s="672"/>
      <c r="HFO30" s="672"/>
      <c r="HFP30" s="672"/>
      <c r="HFQ30" s="672"/>
      <c r="HFR30" s="672"/>
      <c r="HFS30" s="672"/>
      <c r="HFT30" s="672"/>
      <c r="HFU30" s="672"/>
      <c r="HFV30" s="672"/>
      <c r="HFW30" s="672"/>
      <c r="HFX30" s="672"/>
      <c r="HFY30" s="672"/>
      <c r="HFZ30" s="672"/>
      <c r="HGA30" s="672"/>
      <c r="HGB30" s="672"/>
      <c r="HGC30" s="672"/>
      <c r="HGD30" s="672"/>
      <c r="HGE30" s="672"/>
      <c r="HGF30" s="672"/>
      <c r="HGG30" s="672"/>
      <c r="HGH30" s="672"/>
      <c r="HGI30" s="672"/>
      <c r="HGJ30" s="672"/>
      <c r="HGK30" s="672"/>
      <c r="HGL30" s="672"/>
      <c r="HGM30" s="672"/>
      <c r="HGN30" s="672"/>
      <c r="HGO30" s="672"/>
      <c r="HGP30" s="672"/>
      <c r="HGQ30" s="672"/>
      <c r="HGR30" s="672"/>
      <c r="HGS30" s="672"/>
      <c r="HGT30" s="672"/>
      <c r="HGU30" s="672"/>
      <c r="HGV30" s="672"/>
      <c r="HGW30" s="672"/>
      <c r="HGX30" s="672"/>
      <c r="HGY30" s="672"/>
      <c r="HGZ30" s="672"/>
      <c r="HHA30" s="672"/>
      <c r="HHB30" s="672"/>
      <c r="HHC30" s="672"/>
      <c r="HHD30" s="672"/>
      <c r="HHE30" s="672"/>
      <c r="HHF30" s="672"/>
      <c r="HHG30" s="672"/>
      <c r="HHH30" s="672"/>
      <c r="HHI30" s="672"/>
      <c r="HHJ30" s="672"/>
      <c r="HHK30" s="672"/>
      <c r="HHL30" s="672"/>
      <c r="HHM30" s="672"/>
      <c r="HHN30" s="672"/>
      <c r="HHO30" s="672"/>
      <c r="HHP30" s="672"/>
      <c r="HHQ30" s="672"/>
      <c r="HHR30" s="672"/>
      <c r="HHS30" s="672"/>
      <c r="HHT30" s="672"/>
      <c r="HHU30" s="672"/>
      <c r="HHV30" s="672"/>
      <c r="HHW30" s="672"/>
      <c r="HHX30" s="672"/>
      <c r="HHY30" s="672"/>
      <c r="HHZ30" s="672"/>
      <c r="HIA30" s="672"/>
      <c r="HIB30" s="672"/>
      <c r="HIC30" s="672"/>
      <c r="HID30" s="672"/>
      <c r="HIE30" s="672"/>
      <c r="HIF30" s="672"/>
      <c r="HIG30" s="672"/>
      <c r="HIH30" s="672"/>
      <c r="HII30" s="672"/>
      <c r="HIJ30" s="672"/>
      <c r="HIK30" s="672"/>
      <c r="HIL30" s="672"/>
      <c r="HIM30" s="672"/>
      <c r="HIN30" s="672"/>
      <c r="HIO30" s="672"/>
      <c r="HIP30" s="672"/>
      <c r="HIQ30" s="672"/>
      <c r="HIR30" s="672"/>
      <c r="HIS30" s="672"/>
      <c r="HIT30" s="672"/>
      <c r="HIU30" s="672"/>
      <c r="HIV30" s="672"/>
      <c r="HIW30" s="672"/>
      <c r="HIX30" s="672"/>
      <c r="HIY30" s="672"/>
      <c r="HIZ30" s="672"/>
      <c r="HJA30" s="672"/>
      <c r="HJB30" s="672"/>
      <c r="HJC30" s="672"/>
      <c r="HJD30" s="672"/>
      <c r="HJE30" s="672"/>
      <c r="HJF30" s="672"/>
      <c r="HJG30" s="672"/>
      <c r="HJH30" s="672"/>
      <c r="HJI30" s="672"/>
      <c r="HJJ30" s="672"/>
      <c r="HJK30" s="672"/>
      <c r="HJL30" s="672"/>
      <c r="HJM30" s="672"/>
      <c r="HJN30" s="672"/>
      <c r="HJO30" s="672"/>
      <c r="HJP30" s="672"/>
      <c r="HJQ30" s="672"/>
      <c r="HJR30" s="672"/>
      <c r="HJS30" s="672"/>
      <c r="HJT30" s="672"/>
      <c r="HJU30" s="672"/>
      <c r="HJV30" s="672"/>
      <c r="HJW30" s="672"/>
      <c r="HJX30" s="672"/>
      <c r="HJY30" s="672"/>
      <c r="HJZ30" s="672"/>
      <c r="HKA30" s="672"/>
      <c r="HKB30" s="672"/>
      <c r="HKC30" s="672"/>
      <c r="HKD30" s="672"/>
      <c r="HKE30" s="672"/>
      <c r="HKF30" s="672"/>
      <c r="HKG30" s="672"/>
      <c r="HKH30" s="672"/>
      <c r="HKI30" s="672"/>
      <c r="HKJ30" s="672"/>
      <c r="HKK30" s="672"/>
      <c r="HKL30" s="672"/>
      <c r="HKM30" s="672"/>
      <c r="HKN30" s="672"/>
      <c r="HKO30" s="672"/>
      <c r="HKP30" s="672"/>
      <c r="HKQ30" s="672"/>
      <c r="HKR30" s="672"/>
      <c r="HKS30" s="672"/>
      <c r="HKT30" s="672"/>
      <c r="HKU30" s="672"/>
      <c r="HKV30" s="672"/>
      <c r="HKW30" s="672"/>
      <c r="HKX30" s="672"/>
      <c r="HKY30" s="672"/>
      <c r="HKZ30" s="672"/>
      <c r="HLA30" s="672"/>
      <c r="HLB30" s="672"/>
      <c r="HLC30" s="672"/>
      <c r="HLD30" s="672"/>
      <c r="HLE30" s="672"/>
      <c r="HLF30" s="672"/>
      <c r="HLG30" s="672"/>
      <c r="HLH30" s="672"/>
      <c r="HLI30" s="672"/>
      <c r="HLJ30" s="672"/>
      <c r="HLK30" s="672"/>
      <c r="HLL30" s="672"/>
      <c r="HLM30" s="672"/>
      <c r="HLN30" s="672"/>
      <c r="HLO30" s="672"/>
      <c r="HLP30" s="672"/>
      <c r="HLQ30" s="672"/>
      <c r="HLR30" s="672"/>
      <c r="HLS30" s="672"/>
      <c r="HLT30" s="672"/>
      <c r="HLU30" s="672"/>
      <c r="HLV30" s="672"/>
      <c r="HLW30" s="672"/>
      <c r="HLX30" s="672"/>
      <c r="HLY30" s="672"/>
      <c r="HLZ30" s="672"/>
      <c r="HMA30" s="672"/>
      <c r="HMB30" s="672"/>
      <c r="HMC30" s="672"/>
      <c r="HMD30" s="672"/>
      <c r="HME30" s="672"/>
      <c r="HMF30" s="672"/>
      <c r="HMG30" s="672"/>
      <c r="HMH30" s="672"/>
      <c r="HMI30" s="672"/>
      <c r="HMJ30" s="672"/>
      <c r="HMK30" s="672"/>
      <c r="HML30" s="672"/>
      <c r="HMM30" s="672"/>
      <c r="HMN30" s="672"/>
      <c r="HMO30" s="672"/>
      <c r="HMP30" s="672"/>
      <c r="HMQ30" s="672"/>
      <c r="HMR30" s="672"/>
      <c r="HMS30" s="672"/>
      <c r="HMT30" s="672"/>
      <c r="HMU30" s="672"/>
      <c r="HMV30" s="672"/>
      <c r="HMW30" s="672"/>
      <c r="HMX30" s="672"/>
      <c r="HMY30" s="672"/>
      <c r="HMZ30" s="672"/>
      <c r="HNA30" s="672"/>
      <c r="HNB30" s="672"/>
      <c r="HNC30" s="672"/>
      <c r="HND30" s="672"/>
      <c r="HNE30" s="672"/>
      <c r="HNF30" s="672"/>
      <c r="HNG30" s="672"/>
      <c r="HNH30" s="672"/>
      <c r="HNI30" s="672"/>
      <c r="HNJ30" s="672"/>
      <c r="HNK30" s="672"/>
      <c r="HNL30" s="672"/>
      <c r="HNM30" s="672"/>
      <c r="HNN30" s="672"/>
      <c r="HNO30" s="672"/>
      <c r="HNP30" s="672"/>
      <c r="HNQ30" s="672"/>
      <c r="HNR30" s="672"/>
      <c r="HNS30" s="672"/>
      <c r="HNT30" s="672"/>
      <c r="HNU30" s="672"/>
      <c r="HNV30" s="672"/>
      <c r="HNW30" s="672"/>
      <c r="HNX30" s="672"/>
      <c r="HNY30" s="672"/>
      <c r="HNZ30" s="672"/>
      <c r="HOA30" s="672"/>
      <c r="HOB30" s="672"/>
      <c r="HOC30" s="672"/>
      <c r="HOD30" s="672"/>
      <c r="HOE30" s="672"/>
      <c r="HOF30" s="672"/>
      <c r="HOG30" s="672"/>
      <c r="HOH30" s="672"/>
      <c r="HOI30" s="672"/>
      <c r="HOJ30" s="672"/>
      <c r="HOK30" s="672"/>
      <c r="HOL30" s="672"/>
      <c r="HOM30" s="672"/>
      <c r="HON30" s="672"/>
      <c r="HOO30" s="672"/>
      <c r="HOP30" s="672"/>
      <c r="HOQ30" s="672"/>
      <c r="HOR30" s="672"/>
      <c r="HOS30" s="672"/>
      <c r="HOT30" s="672"/>
      <c r="HOU30" s="672"/>
      <c r="HOV30" s="672"/>
      <c r="HOW30" s="672"/>
      <c r="HOX30" s="672"/>
      <c r="HOY30" s="672"/>
      <c r="HOZ30" s="672"/>
      <c r="HPA30" s="672"/>
      <c r="HPB30" s="672"/>
      <c r="HPC30" s="672"/>
      <c r="HPD30" s="672"/>
      <c r="HPE30" s="672"/>
      <c r="HPF30" s="672"/>
      <c r="HPG30" s="672"/>
      <c r="HPH30" s="672"/>
      <c r="HPI30" s="672"/>
      <c r="HPJ30" s="672"/>
      <c r="HPK30" s="672"/>
      <c r="HPL30" s="672"/>
      <c r="HPM30" s="672"/>
      <c r="HPN30" s="672"/>
      <c r="HPO30" s="672"/>
      <c r="HPP30" s="672"/>
      <c r="HPQ30" s="672"/>
      <c r="HPR30" s="672"/>
      <c r="HPS30" s="672"/>
      <c r="HPT30" s="672"/>
      <c r="HPU30" s="672"/>
      <c r="HPV30" s="672"/>
      <c r="HPW30" s="672"/>
      <c r="HPX30" s="672"/>
      <c r="HPY30" s="672"/>
      <c r="HPZ30" s="672"/>
      <c r="HQA30" s="672"/>
      <c r="HQB30" s="672"/>
      <c r="HQC30" s="672"/>
      <c r="HQD30" s="672"/>
      <c r="HQE30" s="672"/>
      <c r="HQF30" s="672"/>
      <c r="HQG30" s="672"/>
      <c r="HQH30" s="672"/>
      <c r="HQI30" s="672"/>
      <c r="HQJ30" s="672"/>
      <c r="HQK30" s="672"/>
      <c r="HQL30" s="672"/>
      <c r="HQM30" s="672"/>
      <c r="HQN30" s="672"/>
      <c r="HQO30" s="672"/>
      <c r="HQP30" s="672"/>
      <c r="HQQ30" s="672"/>
      <c r="HQR30" s="672"/>
      <c r="HQS30" s="672"/>
      <c r="HQT30" s="672"/>
      <c r="HQU30" s="672"/>
      <c r="HQV30" s="672"/>
      <c r="HQW30" s="672"/>
      <c r="HQX30" s="672"/>
      <c r="HQY30" s="672"/>
      <c r="HQZ30" s="672"/>
      <c r="HRA30" s="672"/>
      <c r="HRB30" s="672"/>
      <c r="HRC30" s="672"/>
      <c r="HRD30" s="672"/>
      <c r="HRE30" s="672"/>
      <c r="HRF30" s="672"/>
      <c r="HRG30" s="672"/>
      <c r="HRH30" s="672"/>
      <c r="HRI30" s="672"/>
      <c r="HRJ30" s="672"/>
      <c r="HRK30" s="672"/>
      <c r="HRL30" s="672"/>
      <c r="HRM30" s="672"/>
      <c r="HRN30" s="672"/>
      <c r="HRO30" s="672"/>
      <c r="HRP30" s="672"/>
      <c r="HRQ30" s="672"/>
      <c r="HRR30" s="672"/>
      <c r="HRS30" s="672"/>
      <c r="HRT30" s="672"/>
      <c r="HRU30" s="672"/>
      <c r="HRV30" s="672"/>
      <c r="HRW30" s="672"/>
      <c r="HRX30" s="672"/>
      <c r="HRY30" s="672"/>
      <c r="HRZ30" s="672"/>
      <c r="HSA30" s="672"/>
      <c r="HSB30" s="672"/>
      <c r="HSC30" s="672"/>
      <c r="HSD30" s="672"/>
      <c r="HSE30" s="672"/>
      <c r="HSF30" s="672"/>
      <c r="HSG30" s="672"/>
      <c r="HSH30" s="672"/>
      <c r="HSI30" s="672"/>
      <c r="HSJ30" s="672"/>
      <c r="HSK30" s="672"/>
      <c r="HSL30" s="672"/>
      <c r="HSM30" s="672"/>
      <c r="HSN30" s="672"/>
      <c r="HSO30" s="672"/>
      <c r="HSP30" s="672"/>
      <c r="HSQ30" s="672"/>
      <c r="HSR30" s="672"/>
      <c r="HSS30" s="672"/>
      <c r="HST30" s="672"/>
      <c r="HSU30" s="672"/>
      <c r="HSV30" s="672"/>
      <c r="HSW30" s="672"/>
      <c r="HSX30" s="672"/>
      <c r="HSY30" s="672"/>
      <c r="HSZ30" s="672"/>
      <c r="HTA30" s="672"/>
      <c r="HTB30" s="672"/>
      <c r="HTC30" s="672"/>
      <c r="HTD30" s="672"/>
      <c r="HTE30" s="672"/>
      <c r="HTF30" s="672"/>
      <c r="HTG30" s="672"/>
      <c r="HTH30" s="672"/>
      <c r="HTI30" s="672"/>
      <c r="HTJ30" s="672"/>
      <c r="HTK30" s="672"/>
      <c r="HTL30" s="672"/>
      <c r="HTM30" s="672"/>
      <c r="HTN30" s="672"/>
      <c r="HTO30" s="672"/>
      <c r="HTP30" s="672"/>
      <c r="HTQ30" s="672"/>
      <c r="HTR30" s="672"/>
      <c r="HTS30" s="672"/>
      <c r="HTT30" s="672"/>
      <c r="HTU30" s="672"/>
      <c r="HTV30" s="672"/>
      <c r="HTW30" s="672"/>
      <c r="HTX30" s="672"/>
      <c r="HTY30" s="672"/>
      <c r="HTZ30" s="672"/>
      <c r="HUA30" s="672"/>
      <c r="HUB30" s="672"/>
      <c r="HUC30" s="672"/>
      <c r="HUD30" s="672"/>
      <c r="HUE30" s="672"/>
      <c r="HUF30" s="672"/>
      <c r="HUG30" s="672"/>
      <c r="HUH30" s="672"/>
      <c r="HUI30" s="672"/>
      <c r="HUJ30" s="672"/>
      <c r="HUK30" s="672"/>
      <c r="HUL30" s="672"/>
      <c r="HUM30" s="672"/>
      <c r="HUN30" s="672"/>
      <c r="HUO30" s="672"/>
      <c r="HUP30" s="672"/>
      <c r="HUQ30" s="672"/>
      <c r="HUR30" s="672"/>
      <c r="HUS30" s="672"/>
      <c r="HUT30" s="672"/>
      <c r="HUU30" s="672"/>
      <c r="HUV30" s="672"/>
      <c r="HUW30" s="672"/>
      <c r="HUX30" s="672"/>
      <c r="HUY30" s="672"/>
      <c r="HUZ30" s="672"/>
      <c r="HVA30" s="672"/>
      <c r="HVB30" s="672"/>
      <c r="HVC30" s="672"/>
      <c r="HVD30" s="672"/>
      <c r="HVE30" s="672"/>
      <c r="HVF30" s="672"/>
      <c r="HVG30" s="672"/>
      <c r="HVH30" s="672"/>
      <c r="HVI30" s="672"/>
      <c r="HVJ30" s="672"/>
      <c r="HVK30" s="672"/>
      <c r="HVL30" s="672"/>
      <c r="HVM30" s="672"/>
      <c r="HVN30" s="672"/>
      <c r="HVO30" s="672"/>
      <c r="HVP30" s="672"/>
      <c r="HVQ30" s="672"/>
      <c r="HVR30" s="672"/>
      <c r="HVS30" s="672"/>
      <c r="HVT30" s="672"/>
      <c r="HVU30" s="672"/>
      <c r="HVV30" s="672"/>
      <c r="HVW30" s="672"/>
      <c r="HVX30" s="672"/>
      <c r="HVY30" s="672"/>
      <c r="HVZ30" s="672"/>
      <c r="HWA30" s="672"/>
      <c r="HWB30" s="672"/>
      <c r="HWC30" s="672"/>
      <c r="HWD30" s="672"/>
      <c r="HWE30" s="672"/>
      <c r="HWF30" s="672"/>
      <c r="HWG30" s="672"/>
      <c r="HWH30" s="672"/>
      <c r="HWI30" s="672"/>
      <c r="HWJ30" s="672"/>
      <c r="HWK30" s="672"/>
      <c r="HWL30" s="672"/>
      <c r="HWM30" s="672"/>
      <c r="HWN30" s="672"/>
      <c r="HWO30" s="672"/>
      <c r="HWP30" s="672"/>
      <c r="HWQ30" s="672"/>
      <c r="HWR30" s="672"/>
      <c r="HWS30" s="672"/>
      <c r="HWT30" s="672"/>
      <c r="HWU30" s="672"/>
      <c r="HWV30" s="672"/>
      <c r="HWW30" s="672"/>
      <c r="HWX30" s="672"/>
      <c r="HWY30" s="672"/>
      <c r="HWZ30" s="672"/>
      <c r="HXA30" s="672"/>
      <c r="HXB30" s="672"/>
      <c r="HXC30" s="672"/>
      <c r="HXD30" s="672"/>
      <c r="HXE30" s="672"/>
      <c r="HXF30" s="672"/>
      <c r="HXG30" s="672"/>
      <c r="HXH30" s="672"/>
      <c r="HXI30" s="672"/>
      <c r="HXJ30" s="672"/>
      <c r="HXK30" s="672"/>
      <c r="HXL30" s="672"/>
      <c r="HXM30" s="672"/>
      <c r="HXN30" s="672"/>
      <c r="HXO30" s="672"/>
      <c r="HXP30" s="672"/>
      <c r="HXQ30" s="672"/>
      <c r="HXR30" s="672"/>
      <c r="HXS30" s="672"/>
      <c r="HXT30" s="672"/>
      <c r="HXU30" s="672"/>
      <c r="HXV30" s="672"/>
      <c r="HXW30" s="672"/>
      <c r="HXX30" s="672"/>
      <c r="HXY30" s="672"/>
      <c r="HXZ30" s="672"/>
      <c r="HYA30" s="672"/>
      <c r="HYB30" s="672"/>
      <c r="HYC30" s="672"/>
      <c r="HYD30" s="672"/>
      <c r="HYE30" s="672"/>
      <c r="HYF30" s="672"/>
      <c r="HYG30" s="672"/>
      <c r="HYH30" s="672"/>
      <c r="HYI30" s="672"/>
      <c r="HYJ30" s="672"/>
      <c r="HYK30" s="672"/>
      <c r="HYL30" s="672"/>
      <c r="HYM30" s="672"/>
      <c r="HYN30" s="672"/>
      <c r="HYO30" s="672"/>
      <c r="HYP30" s="672"/>
      <c r="HYQ30" s="672"/>
      <c r="HYR30" s="672"/>
      <c r="HYS30" s="672"/>
      <c r="HYT30" s="672"/>
      <c r="HYU30" s="672"/>
      <c r="HYV30" s="672"/>
      <c r="HYW30" s="672"/>
      <c r="HYX30" s="672"/>
      <c r="HYY30" s="672"/>
      <c r="HYZ30" s="672"/>
      <c r="HZA30" s="672"/>
      <c r="HZB30" s="672"/>
      <c r="HZC30" s="672"/>
      <c r="HZD30" s="672"/>
      <c r="HZE30" s="672"/>
      <c r="HZF30" s="672"/>
      <c r="HZG30" s="672"/>
      <c r="HZH30" s="672"/>
      <c r="HZI30" s="672"/>
      <c r="HZJ30" s="672"/>
      <c r="HZK30" s="672"/>
      <c r="HZL30" s="672"/>
      <c r="HZM30" s="672"/>
      <c r="HZN30" s="672"/>
      <c r="HZO30" s="672"/>
      <c r="HZP30" s="672"/>
      <c r="HZQ30" s="672"/>
      <c r="HZR30" s="672"/>
      <c r="HZS30" s="672"/>
      <c r="HZT30" s="672"/>
      <c r="HZU30" s="672"/>
      <c r="HZV30" s="672"/>
      <c r="HZW30" s="672"/>
      <c r="HZX30" s="672"/>
      <c r="HZY30" s="672"/>
      <c r="HZZ30" s="672"/>
      <c r="IAA30" s="672"/>
      <c r="IAB30" s="672"/>
      <c r="IAC30" s="672"/>
      <c r="IAD30" s="672"/>
      <c r="IAE30" s="672"/>
      <c r="IAF30" s="672"/>
      <c r="IAG30" s="672"/>
      <c r="IAH30" s="672"/>
      <c r="IAI30" s="672"/>
      <c r="IAJ30" s="672"/>
      <c r="IAK30" s="672"/>
      <c r="IAL30" s="672"/>
      <c r="IAM30" s="672"/>
      <c r="IAN30" s="672"/>
      <c r="IAO30" s="672"/>
      <c r="IAP30" s="672"/>
      <c r="IAQ30" s="672"/>
      <c r="IAR30" s="672"/>
      <c r="IAS30" s="672"/>
      <c r="IAT30" s="672"/>
      <c r="IAU30" s="672"/>
      <c r="IAV30" s="672"/>
      <c r="IAW30" s="672"/>
      <c r="IAX30" s="672"/>
      <c r="IAY30" s="672"/>
      <c r="IAZ30" s="672"/>
      <c r="IBA30" s="672"/>
      <c r="IBB30" s="672"/>
      <c r="IBC30" s="672"/>
      <c r="IBD30" s="672"/>
      <c r="IBE30" s="672"/>
      <c r="IBF30" s="672"/>
      <c r="IBG30" s="672"/>
      <c r="IBH30" s="672"/>
      <c r="IBI30" s="672"/>
      <c r="IBJ30" s="672"/>
      <c r="IBK30" s="672"/>
      <c r="IBL30" s="672"/>
      <c r="IBM30" s="672"/>
      <c r="IBN30" s="672"/>
      <c r="IBO30" s="672"/>
      <c r="IBP30" s="672"/>
      <c r="IBQ30" s="672"/>
      <c r="IBR30" s="672"/>
      <c r="IBS30" s="672"/>
      <c r="IBT30" s="672"/>
      <c r="IBU30" s="672"/>
      <c r="IBV30" s="672"/>
      <c r="IBW30" s="672"/>
      <c r="IBX30" s="672"/>
      <c r="IBY30" s="672"/>
      <c r="IBZ30" s="672"/>
      <c r="ICA30" s="672"/>
      <c r="ICB30" s="672"/>
      <c r="ICC30" s="672"/>
      <c r="ICD30" s="672"/>
      <c r="ICE30" s="672"/>
      <c r="ICF30" s="672"/>
      <c r="ICG30" s="672"/>
      <c r="ICH30" s="672"/>
      <c r="ICI30" s="672"/>
      <c r="ICJ30" s="672"/>
      <c r="ICK30" s="672"/>
      <c r="ICL30" s="672"/>
      <c r="ICM30" s="672"/>
      <c r="ICN30" s="672"/>
      <c r="ICO30" s="672"/>
      <c r="ICP30" s="672"/>
      <c r="ICQ30" s="672"/>
      <c r="ICR30" s="672"/>
      <c r="ICS30" s="672"/>
      <c r="ICT30" s="672"/>
      <c r="ICU30" s="672"/>
      <c r="ICV30" s="672"/>
      <c r="ICW30" s="672"/>
      <c r="ICX30" s="672"/>
      <c r="ICY30" s="672"/>
      <c r="ICZ30" s="672"/>
      <c r="IDA30" s="672"/>
      <c r="IDB30" s="672"/>
      <c r="IDC30" s="672"/>
      <c r="IDD30" s="672"/>
      <c r="IDE30" s="672"/>
      <c r="IDF30" s="672"/>
      <c r="IDG30" s="672"/>
      <c r="IDH30" s="672"/>
      <c r="IDI30" s="672"/>
      <c r="IDJ30" s="672"/>
      <c r="IDK30" s="672"/>
      <c r="IDL30" s="672"/>
      <c r="IDM30" s="672"/>
      <c r="IDN30" s="672"/>
      <c r="IDO30" s="672"/>
      <c r="IDP30" s="672"/>
      <c r="IDQ30" s="672"/>
      <c r="IDR30" s="672"/>
      <c r="IDS30" s="672"/>
      <c r="IDT30" s="672"/>
      <c r="IDU30" s="672"/>
      <c r="IDV30" s="672"/>
      <c r="IDW30" s="672"/>
      <c r="IDX30" s="672"/>
      <c r="IDY30" s="672"/>
      <c r="IDZ30" s="672"/>
      <c r="IEA30" s="672"/>
      <c r="IEB30" s="672"/>
      <c r="IEC30" s="672"/>
      <c r="IED30" s="672"/>
      <c r="IEE30" s="672"/>
      <c r="IEF30" s="672"/>
      <c r="IEG30" s="672"/>
      <c r="IEH30" s="672"/>
      <c r="IEI30" s="672"/>
      <c r="IEJ30" s="672"/>
      <c r="IEK30" s="672"/>
      <c r="IEL30" s="672"/>
      <c r="IEM30" s="672"/>
      <c r="IEN30" s="672"/>
      <c r="IEO30" s="672"/>
      <c r="IEP30" s="672"/>
      <c r="IEQ30" s="672"/>
      <c r="IER30" s="672"/>
      <c r="IES30" s="672"/>
      <c r="IET30" s="672"/>
      <c r="IEU30" s="672"/>
      <c r="IEV30" s="672"/>
      <c r="IEW30" s="672"/>
      <c r="IEX30" s="672"/>
      <c r="IEY30" s="672"/>
      <c r="IEZ30" s="672"/>
      <c r="IFA30" s="672"/>
      <c r="IFB30" s="672"/>
      <c r="IFC30" s="672"/>
      <c r="IFD30" s="672"/>
      <c r="IFE30" s="672"/>
      <c r="IFF30" s="672"/>
      <c r="IFG30" s="672"/>
      <c r="IFH30" s="672"/>
      <c r="IFI30" s="672"/>
      <c r="IFJ30" s="672"/>
      <c r="IFK30" s="672"/>
      <c r="IFL30" s="672"/>
      <c r="IFM30" s="672"/>
      <c r="IFN30" s="672"/>
      <c r="IFO30" s="672"/>
      <c r="IFP30" s="672"/>
      <c r="IFQ30" s="672"/>
      <c r="IFR30" s="672"/>
      <c r="IFS30" s="672"/>
      <c r="IFT30" s="672"/>
      <c r="IFU30" s="672"/>
      <c r="IFV30" s="672"/>
      <c r="IFW30" s="672"/>
      <c r="IFX30" s="672"/>
      <c r="IFY30" s="672"/>
      <c r="IFZ30" s="672"/>
      <c r="IGA30" s="672"/>
      <c r="IGB30" s="672"/>
      <c r="IGC30" s="672"/>
      <c r="IGD30" s="672"/>
      <c r="IGE30" s="672"/>
      <c r="IGF30" s="672"/>
      <c r="IGG30" s="672"/>
      <c r="IGH30" s="672"/>
      <c r="IGI30" s="672"/>
      <c r="IGJ30" s="672"/>
      <c r="IGK30" s="672"/>
      <c r="IGL30" s="672"/>
      <c r="IGM30" s="672"/>
      <c r="IGN30" s="672"/>
      <c r="IGO30" s="672"/>
      <c r="IGP30" s="672"/>
      <c r="IGQ30" s="672"/>
      <c r="IGR30" s="672"/>
      <c r="IGS30" s="672"/>
      <c r="IGT30" s="672"/>
      <c r="IGU30" s="672"/>
      <c r="IGV30" s="672"/>
      <c r="IGW30" s="672"/>
      <c r="IGX30" s="672"/>
      <c r="IGY30" s="672"/>
      <c r="IGZ30" s="672"/>
      <c r="IHA30" s="672"/>
      <c r="IHB30" s="672"/>
      <c r="IHC30" s="672"/>
      <c r="IHD30" s="672"/>
      <c r="IHE30" s="672"/>
      <c r="IHF30" s="672"/>
      <c r="IHG30" s="672"/>
      <c r="IHH30" s="672"/>
      <c r="IHI30" s="672"/>
      <c r="IHJ30" s="672"/>
      <c r="IHK30" s="672"/>
      <c r="IHL30" s="672"/>
      <c r="IHM30" s="672"/>
      <c r="IHN30" s="672"/>
      <c r="IHO30" s="672"/>
      <c r="IHP30" s="672"/>
      <c r="IHQ30" s="672"/>
      <c r="IHR30" s="672"/>
      <c r="IHS30" s="672"/>
      <c r="IHT30" s="672"/>
      <c r="IHU30" s="672"/>
      <c r="IHV30" s="672"/>
      <c r="IHW30" s="672"/>
      <c r="IHX30" s="672"/>
      <c r="IHY30" s="672"/>
      <c r="IHZ30" s="672"/>
      <c r="IIA30" s="672"/>
      <c r="IIB30" s="672"/>
      <c r="IIC30" s="672"/>
      <c r="IID30" s="672"/>
      <c r="IIE30" s="672"/>
      <c r="IIF30" s="672"/>
      <c r="IIG30" s="672"/>
      <c r="IIH30" s="672"/>
      <c r="III30" s="672"/>
      <c r="IIJ30" s="672"/>
      <c r="IIK30" s="672"/>
      <c r="IIL30" s="672"/>
      <c r="IIM30" s="672"/>
      <c r="IIN30" s="672"/>
      <c r="IIO30" s="672"/>
      <c r="IIP30" s="672"/>
      <c r="IIQ30" s="672"/>
      <c r="IIR30" s="672"/>
      <c r="IIS30" s="672"/>
      <c r="IIT30" s="672"/>
      <c r="IIU30" s="672"/>
      <c r="IIV30" s="672"/>
      <c r="IIW30" s="672"/>
      <c r="IIX30" s="672"/>
      <c r="IIY30" s="672"/>
      <c r="IIZ30" s="672"/>
      <c r="IJA30" s="672"/>
      <c r="IJB30" s="672"/>
      <c r="IJC30" s="672"/>
      <c r="IJD30" s="672"/>
      <c r="IJE30" s="672"/>
      <c r="IJF30" s="672"/>
      <c r="IJG30" s="672"/>
      <c r="IJH30" s="672"/>
      <c r="IJI30" s="672"/>
      <c r="IJJ30" s="672"/>
      <c r="IJK30" s="672"/>
      <c r="IJL30" s="672"/>
      <c r="IJM30" s="672"/>
      <c r="IJN30" s="672"/>
      <c r="IJO30" s="672"/>
      <c r="IJP30" s="672"/>
      <c r="IJQ30" s="672"/>
      <c r="IJR30" s="672"/>
      <c r="IJS30" s="672"/>
      <c r="IJT30" s="672"/>
      <c r="IJU30" s="672"/>
      <c r="IJV30" s="672"/>
      <c r="IJW30" s="672"/>
      <c r="IJX30" s="672"/>
      <c r="IJY30" s="672"/>
      <c r="IJZ30" s="672"/>
      <c r="IKA30" s="672"/>
      <c r="IKB30" s="672"/>
      <c r="IKC30" s="672"/>
      <c r="IKD30" s="672"/>
      <c r="IKE30" s="672"/>
      <c r="IKF30" s="672"/>
      <c r="IKG30" s="672"/>
      <c r="IKH30" s="672"/>
      <c r="IKI30" s="672"/>
      <c r="IKJ30" s="672"/>
      <c r="IKK30" s="672"/>
      <c r="IKL30" s="672"/>
      <c r="IKM30" s="672"/>
      <c r="IKN30" s="672"/>
      <c r="IKO30" s="672"/>
      <c r="IKP30" s="672"/>
      <c r="IKQ30" s="672"/>
      <c r="IKR30" s="672"/>
      <c r="IKS30" s="672"/>
      <c r="IKT30" s="672"/>
      <c r="IKU30" s="672"/>
      <c r="IKV30" s="672"/>
      <c r="IKW30" s="672"/>
      <c r="IKX30" s="672"/>
      <c r="IKY30" s="672"/>
      <c r="IKZ30" s="672"/>
      <c r="ILA30" s="672"/>
      <c r="ILB30" s="672"/>
      <c r="ILC30" s="672"/>
      <c r="ILD30" s="672"/>
      <c r="ILE30" s="672"/>
      <c r="ILF30" s="672"/>
      <c r="ILG30" s="672"/>
      <c r="ILH30" s="672"/>
      <c r="ILI30" s="672"/>
      <c r="ILJ30" s="672"/>
      <c r="ILK30" s="672"/>
      <c r="ILL30" s="672"/>
      <c r="ILM30" s="672"/>
      <c r="ILN30" s="672"/>
      <c r="ILO30" s="672"/>
      <c r="ILP30" s="672"/>
      <c r="ILQ30" s="672"/>
      <c r="ILR30" s="672"/>
      <c r="ILS30" s="672"/>
      <c r="ILT30" s="672"/>
      <c r="ILU30" s="672"/>
      <c r="ILV30" s="672"/>
      <c r="ILW30" s="672"/>
      <c r="ILX30" s="672"/>
      <c r="ILY30" s="672"/>
      <c r="ILZ30" s="672"/>
      <c r="IMA30" s="672"/>
      <c r="IMB30" s="672"/>
      <c r="IMC30" s="672"/>
      <c r="IMD30" s="672"/>
      <c r="IME30" s="672"/>
      <c r="IMF30" s="672"/>
      <c r="IMG30" s="672"/>
      <c r="IMH30" s="672"/>
      <c r="IMI30" s="672"/>
      <c r="IMJ30" s="672"/>
      <c r="IMK30" s="672"/>
      <c r="IML30" s="672"/>
      <c r="IMM30" s="672"/>
      <c r="IMN30" s="672"/>
      <c r="IMO30" s="672"/>
      <c r="IMP30" s="672"/>
      <c r="IMQ30" s="672"/>
      <c r="IMR30" s="672"/>
      <c r="IMS30" s="672"/>
      <c r="IMT30" s="672"/>
      <c r="IMU30" s="672"/>
      <c r="IMV30" s="672"/>
      <c r="IMW30" s="672"/>
      <c r="IMX30" s="672"/>
      <c r="IMY30" s="672"/>
      <c r="IMZ30" s="672"/>
      <c r="INA30" s="672"/>
      <c r="INB30" s="672"/>
      <c r="INC30" s="672"/>
      <c r="IND30" s="672"/>
      <c r="INE30" s="672"/>
      <c r="INF30" s="672"/>
      <c r="ING30" s="672"/>
      <c r="INH30" s="672"/>
      <c r="INI30" s="672"/>
      <c r="INJ30" s="672"/>
      <c r="INK30" s="672"/>
      <c r="INL30" s="672"/>
      <c r="INM30" s="672"/>
      <c r="INN30" s="672"/>
      <c r="INO30" s="672"/>
      <c r="INP30" s="672"/>
      <c r="INQ30" s="672"/>
      <c r="INR30" s="672"/>
      <c r="INS30" s="672"/>
      <c r="INT30" s="672"/>
      <c r="INU30" s="672"/>
      <c r="INV30" s="672"/>
      <c r="INW30" s="672"/>
      <c r="INX30" s="672"/>
      <c r="INY30" s="672"/>
      <c r="INZ30" s="672"/>
      <c r="IOA30" s="672"/>
      <c r="IOB30" s="672"/>
      <c r="IOC30" s="672"/>
      <c r="IOD30" s="672"/>
      <c r="IOE30" s="672"/>
      <c r="IOF30" s="672"/>
      <c r="IOG30" s="672"/>
      <c r="IOH30" s="672"/>
      <c r="IOI30" s="672"/>
      <c r="IOJ30" s="672"/>
      <c r="IOK30" s="672"/>
      <c r="IOL30" s="672"/>
      <c r="IOM30" s="672"/>
      <c r="ION30" s="672"/>
      <c r="IOO30" s="672"/>
      <c r="IOP30" s="672"/>
      <c r="IOQ30" s="672"/>
      <c r="IOR30" s="672"/>
      <c r="IOS30" s="672"/>
      <c r="IOT30" s="672"/>
      <c r="IOU30" s="672"/>
      <c r="IOV30" s="672"/>
      <c r="IOW30" s="672"/>
      <c r="IOX30" s="672"/>
      <c r="IOY30" s="672"/>
      <c r="IOZ30" s="672"/>
      <c r="IPA30" s="672"/>
      <c r="IPB30" s="672"/>
      <c r="IPC30" s="672"/>
      <c r="IPD30" s="672"/>
      <c r="IPE30" s="672"/>
      <c r="IPF30" s="672"/>
      <c r="IPG30" s="672"/>
      <c r="IPH30" s="672"/>
      <c r="IPI30" s="672"/>
      <c r="IPJ30" s="672"/>
      <c r="IPK30" s="672"/>
      <c r="IPL30" s="672"/>
      <c r="IPM30" s="672"/>
      <c r="IPN30" s="672"/>
      <c r="IPO30" s="672"/>
      <c r="IPP30" s="672"/>
      <c r="IPQ30" s="672"/>
      <c r="IPR30" s="672"/>
      <c r="IPS30" s="672"/>
      <c r="IPT30" s="672"/>
      <c r="IPU30" s="672"/>
      <c r="IPV30" s="672"/>
      <c r="IPW30" s="672"/>
      <c r="IPX30" s="672"/>
      <c r="IPY30" s="672"/>
      <c r="IPZ30" s="672"/>
      <c r="IQA30" s="672"/>
      <c r="IQB30" s="672"/>
      <c r="IQC30" s="672"/>
      <c r="IQD30" s="672"/>
      <c r="IQE30" s="672"/>
      <c r="IQF30" s="672"/>
      <c r="IQG30" s="672"/>
      <c r="IQH30" s="672"/>
      <c r="IQI30" s="672"/>
      <c r="IQJ30" s="672"/>
      <c r="IQK30" s="672"/>
      <c r="IQL30" s="672"/>
      <c r="IQM30" s="672"/>
      <c r="IQN30" s="672"/>
      <c r="IQO30" s="672"/>
      <c r="IQP30" s="672"/>
      <c r="IQQ30" s="672"/>
      <c r="IQR30" s="672"/>
      <c r="IQS30" s="672"/>
      <c r="IQT30" s="672"/>
      <c r="IQU30" s="672"/>
      <c r="IQV30" s="672"/>
      <c r="IQW30" s="672"/>
      <c r="IQX30" s="672"/>
      <c r="IQY30" s="672"/>
      <c r="IQZ30" s="672"/>
      <c r="IRA30" s="672"/>
      <c r="IRB30" s="672"/>
      <c r="IRC30" s="672"/>
      <c r="IRD30" s="672"/>
      <c r="IRE30" s="672"/>
      <c r="IRF30" s="672"/>
      <c r="IRG30" s="672"/>
      <c r="IRH30" s="672"/>
      <c r="IRI30" s="672"/>
      <c r="IRJ30" s="672"/>
      <c r="IRK30" s="672"/>
      <c r="IRL30" s="672"/>
      <c r="IRM30" s="672"/>
      <c r="IRN30" s="672"/>
      <c r="IRO30" s="672"/>
      <c r="IRP30" s="672"/>
      <c r="IRQ30" s="672"/>
      <c r="IRR30" s="672"/>
      <c r="IRS30" s="672"/>
      <c r="IRT30" s="672"/>
      <c r="IRU30" s="672"/>
      <c r="IRV30" s="672"/>
      <c r="IRW30" s="672"/>
      <c r="IRX30" s="672"/>
      <c r="IRY30" s="672"/>
      <c r="IRZ30" s="672"/>
      <c r="ISA30" s="672"/>
      <c r="ISB30" s="672"/>
      <c r="ISC30" s="672"/>
      <c r="ISD30" s="672"/>
      <c r="ISE30" s="672"/>
      <c r="ISF30" s="672"/>
      <c r="ISG30" s="672"/>
      <c r="ISH30" s="672"/>
      <c r="ISI30" s="672"/>
      <c r="ISJ30" s="672"/>
      <c r="ISK30" s="672"/>
      <c r="ISL30" s="672"/>
      <c r="ISM30" s="672"/>
      <c r="ISN30" s="672"/>
      <c r="ISO30" s="672"/>
      <c r="ISP30" s="672"/>
      <c r="ISQ30" s="672"/>
      <c r="ISR30" s="672"/>
      <c r="ISS30" s="672"/>
      <c r="IST30" s="672"/>
      <c r="ISU30" s="672"/>
      <c r="ISV30" s="672"/>
      <c r="ISW30" s="672"/>
      <c r="ISX30" s="672"/>
      <c r="ISY30" s="672"/>
      <c r="ISZ30" s="672"/>
      <c r="ITA30" s="672"/>
      <c r="ITB30" s="672"/>
      <c r="ITC30" s="672"/>
      <c r="ITD30" s="672"/>
      <c r="ITE30" s="672"/>
      <c r="ITF30" s="672"/>
      <c r="ITG30" s="672"/>
      <c r="ITH30" s="672"/>
      <c r="ITI30" s="672"/>
      <c r="ITJ30" s="672"/>
      <c r="ITK30" s="672"/>
      <c r="ITL30" s="672"/>
      <c r="ITM30" s="672"/>
      <c r="ITN30" s="672"/>
      <c r="ITO30" s="672"/>
      <c r="ITP30" s="672"/>
      <c r="ITQ30" s="672"/>
      <c r="ITR30" s="672"/>
      <c r="ITS30" s="672"/>
      <c r="ITT30" s="672"/>
      <c r="ITU30" s="672"/>
      <c r="ITV30" s="672"/>
      <c r="ITW30" s="672"/>
      <c r="ITX30" s="672"/>
      <c r="ITY30" s="672"/>
      <c r="ITZ30" s="672"/>
      <c r="IUA30" s="672"/>
      <c r="IUB30" s="672"/>
      <c r="IUC30" s="672"/>
      <c r="IUD30" s="672"/>
      <c r="IUE30" s="672"/>
      <c r="IUF30" s="672"/>
      <c r="IUG30" s="672"/>
      <c r="IUH30" s="672"/>
      <c r="IUI30" s="672"/>
      <c r="IUJ30" s="672"/>
      <c r="IUK30" s="672"/>
      <c r="IUL30" s="672"/>
      <c r="IUM30" s="672"/>
      <c r="IUN30" s="672"/>
      <c r="IUO30" s="672"/>
      <c r="IUP30" s="672"/>
      <c r="IUQ30" s="672"/>
      <c r="IUR30" s="672"/>
      <c r="IUS30" s="672"/>
      <c r="IUT30" s="672"/>
      <c r="IUU30" s="672"/>
      <c r="IUV30" s="672"/>
      <c r="IUW30" s="672"/>
      <c r="IUX30" s="672"/>
      <c r="IUY30" s="672"/>
      <c r="IUZ30" s="672"/>
      <c r="IVA30" s="672"/>
      <c r="IVB30" s="672"/>
      <c r="IVC30" s="672"/>
      <c r="IVD30" s="672"/>
      <c r="IVE30" s="672"/>
      <c r="IVF30" s="672"/>
      <c r="IVG30" s="672"/>
      <c r="IVH30" s="672"/>
      <c r="IVI30" s="672"/>
      <c r="IVJ30" s="672"/>
      <c r="IVK30" s="672"/>
      <c r="IVL30" s="672"/>
      <c r="IVM30" s="672"/>
      <c r="IVN30" s="672"/>
      <c r="IVO30" s="672"/>
      <c r="IVP30" s="672"/>
      <c r="IVQ30" s="672"/>
      <c r="IVR30" s="672"/>
      <c r="IVS30" s="672"/>
      <c r="IVT30" s="672"/>
      <c r="IVU30" s="672"/>
      <c r="IVV30" s="672"/>
      <c r="IVW30" s="672"/>
      <c r="IVX30" s="672"/>
      <c r="IVY30" s="672"/>
      <c r="IVZ30" s="672"/>
      <c r="IWA30" s="672"/>
      <c r="IWB30" s="672"/>
      <c r="IWC30" s="672"/>
      <c r="IWD30" s="672"/>
      <c r="IWE30" s="672"/>
      <c r="IWF30" s="672"/>
      <c r="IWG30" s="672"/>
      <c r="IWH30" s="672"/>
      <c r="IWI30" s="672"/>
      <c r="IWJ30" s="672"/>
      <c r="IWK30" s="672"/>
      <c r="IWL30" s="672"/>
      <c r="IWM30" s="672"/>
      <c r="IWN30" s="672"/>
      <c r="IWO30" s="672"/>
      <c r="IWP30" s="672"/>
      <c r="IWQ30" s="672"/>
      <c r="IWR30" s="672"/>
      <c r="IWS30" s="672"/>
      <c r="IWT30" s="672"/>
      <c r="IWU30" s="672"/>
      <c r="IWV30" s="672"/>
      <c r="IWW30" s="672"/>
      <c r="IWX30" s="672"/>
      <c r="IWY30" s="672"/>
      <c r="IWZ30" s="672"/>
      <c r="IXA30" s="672"/>
      <c r="IXB30" s="672"/>
      <c r="IXC30" s="672"/>
      <c r="IXD30" s="672"/>
      <c r="IXE30" s="672"/>
      <c r="IXF30" s="672"/>
      <c r="IXG30" s="672"/>
      <c r="IXH30" s="672"/>
      <c r="IXI30" s="672"/>
      <c r="IXJ30" s="672"/>
      <c r="IXK30" s="672"/>
      <c r="IXL30" s="672"/>
      <c r="IXM30" s="672"/>
      <c r="IXN30" s="672"/>
      <c r="IXO30" s="672"/>
      <c r="IXP30" s="672"/>
      <c r="IXQ30" s="672"/>
      <c r="IXR30" s="672"/>
      <c r="IXS30" s="672"/>
      <c r="IXT30" s="672"/>
      <c r="IXU30" s="672"/>
      <c r="IXV30" s="672"/>
      <c r="IXW30" s="672"/>
      <c r="IXX30" s="672"/>
      <c r="IXY30" s="672"/>
      <c r="IXZ30" s="672"/>
      <c r="IYA30" s="672"/>
      <c r="IYB30" s="672"/>
      <c r="IYC30" s="672"/>
      <c r="IYD30" s="672"/>
      <c r="IYE30" s="672"/>
      <c r="IYF30" s="672"/>
      <c r="IYG30" s="672"/>
      <c r="IYH30" s="672"/>
      <c r="IYI30" s="672"/>
      <c r="IYJ30" s="672"/>
      <c r="IYK30" s="672"/>
      <c r="IYL30" s="672"/>
      <c r="IYM30" s="672"/>
      <c r="IYN30" s="672"/>
      <c r="IYO30" s="672"/>
      <c r="IYP30" s="672"/>
      <c r="IYQ30" s="672"/>
      <c r="IYR30" s="672"/>
      <c r="IYS30" s="672"/>
      <c r="IYT30" s="672"/>
      <c r="IYU30" s="672"/>
      <c r="IYV30" s="672"/>
      <c r="IYW30" s="672"/>
      <c r="IYX30" s="672"/>
      <c r="IYY30" s="672"/>
      <c r="IYZ30" s="672"/>
      <c r="IZA30" s="672"/>
      <c r="IZB30" s="672"/>
      <c r="IZC30" s="672"/>
      <c r="IZD30" s="672"/>
      <c r="IZE30" s="672"/>
      <c r="IZF30" s="672"/>
      <c r="IZG30" s="672"/>
      <c r="IZH30" s="672"/>
      <c r="IZI30" s="672"/>
      <c r="IZJ30" s="672"/>
      <c r="IZK30" s="672"/>
      <c r="IZL30" s="672"/>
      <c r="IZM30" s="672"/>
      <c r="IZN30" s="672"/>
      <c r="IZO30" s="672"/>
      <c r="IZP30" s="672"/>
      <c r="IZQ30" s="672"/>
      <c r="IZR30" s="672"/>
      <c r="IZS30" s="672"/>
      <c r="IZT30" s="672"/>
      <c r="IZU30" s="672"/>
      <c r="IZV30" s="672"/>
      <c r="IZW30" s="672"/>
      <c r="IZX30" s="672"/>
      <c r="IZY30" s="672"/>
      <c r="IZZ30" s="672"/>
      <c r="JAA30" s="672"/>
      <c r="JAB30" s="672"/>
      <c r="JAC30" s="672"/>
      <c r="JAD30" s="672"/>
      <c r="JAE30" s="672"/>
      <c r="JAF30" s="672"/>
      <c r="JAG30" s="672"/>
      <c r="JAH30" s="672"/>
      <c r="JAI30" s="672"/>
      <c r="JAJ30" s="672"/>
      <c r="JAK30" s="672"/>
      <c r="JAL30" s="672"/>
      <c r="JAM30" s="672"/>
      <c r="JAN30" s="672"/>
      <c r="JAO30" s="672"/>
      <c r="JAP30" s="672"/>
      <c r="JAQ30" s="672"/>
      <c r="JAR30" s="672"/>
      <c r="JAS30" s="672"/>
      <c r="JAT30" s="672"/>
      <c r="JAU30" s="672"/>
      <c r="JAV30" s="672"/>
      <c r="JAW30" s="672"/>
      <c r="JAX30" s="672"/>
      <c r="JAY30" s="672"/>
      <c r="JAZ30" s="672"/>
      <c r="JBA30" s="672"/>
      <c r="JBB30" s="672"/>
      <c r="JBC30" s="672"/>
      <c r="JBD30" s="672"/>
      <c r="JBE30" s="672"/>
      <c r="JBF30" s="672"/>
      <c r="JBG30" s="672"/>
      <c r="JBH30" s="672"/>
      <c r="JBI30" s="672"/>
      <c r="JBJ30" s="672"/>
      <c r="JBK30" s="672"/>
      <c r="JBL30" s="672"/>
      <c r="JBM30" s="672"/>
      <c r="JBN30" s="672"/>
      <c r="JBO30" s="672"/>
      <c r="JBP30" s="672"/>
      <c r="JBQ30" s="672"/>
      <c r="JBR30" s="672"/>
      <c r="JBS30" s="672"/>
      <c r="JBT30" s="672"/>
      <c r="JBU30" s="672"/>
      <c r="JBV30" s="672"/>
      <c r="JBW30" s="672"/>
      <c r="JBX30" s="672"/>
      <c r="JBY30" s="672"/>
      <c r="JBZ30" s="672"/>
      <c r="JCA30" s="672"/>
      <c r="JCB30" s="672"/>
      <c r="JCC30" s="672"/>
      <c r="JCD30" s="672"/>
      <c r="JCE30" s="672"/>
      <c r="JCF30" s="672"/>
      <c r="JCG30" s="672"/>
      <c r="JCH30" s="672"/>
      <c r="JCI30" s="672"/>
      <c r="JCJ30" s="672"/>
      <c r="JCK30" s="672"/>
      <c r="JCL30" s="672"/>
      <c r="JCM30" s="672"/>
      <c r="JCN30" s="672"/>
      <c r="JCO30" s="672"/>
      <c r="JCP30" s="672"/>
      <c r="JCQ30" s="672"/>
      <c r="JCR30" s="672"/>
      <c r="JCS30" s="672"/>
      <c r="JCT30" s="672"/>
      <c r="JCU30" s="672"/>
      <c r="JCV30" s="672"/>
      <c r="JCW30" s="672"/>
      <c r="JCX30" s="672"/>
      <c r="JCY30" s="672"/>
      <c r="JCZ30" s="672"/>
      <c r="JDA30" s="672"/>
      <c r="JDB30" s="672"/>
      <c r="JDC30" s="672"/>
      <c r="JDD30" s="672"/>
      <c r="JDE30" s="672"/>
      <c r="JDF30" s="672"/>
      <c r="JDG30" s="672"/>
      <c r="JDH30" s="672"/>
      <c r="JDI30" s="672"/>
      <c r="JDJ30" s="672"/>
      <c r="JDK30" s="672"/>
      <c r="JDL30" s="672"/>
      <c r="JDM30" s="672"/>
      <c r="JDN30" s="672"/>
      <c r="JDO30" s="672"/>
      <c r="JDP30" s="672"/>
      <c r="JDQ30" s="672"/>
      <c r="JDR30" s="672"/>
      <c r="JDS30" s="672"/>
      <c r="JDT30" s="672"/>
      <c r="JDU30" s="672"/>
      <c r="JDV30" s="672"/>
      <c r="JDW30" s="672"/>
      <c r="JDX30" s="672"/>
      <c r="JDY30" s="672"/>
      <c r="JDZ30" s="672"/>
      <c r="JEA30" s="672"/>
      <c r="JEB30" s="672"/>
      <c r="JEC30" s="672"/>
      <c r="JED30" s="672"/>
      <c r="JEE30" s="672"/>
      <c r="JEF30" s="672"/>
      <c r="JEG30" s="672"/>
      <c r="JEH30" s="672"/>
      <c r="JEI30" s="672"/>
      <c r="JEJ30" s="672"/>
      <c r="JEK30" s="672"/>
      <c r="JEL30" s="672"/>
      <c r="JEM30" s="672"/>
      <c r="JEN30" s="672"/>
      <c r="JEO30" s="672"/>
      <c r="JEP30" s="672"/>
      <c r="JEQ30" s="672"/>
      <c r="JER30" s="672"/>
      <c r="JES30" s="672"/>
      <c r="JET30" s="672"/>
      <c r="JEU30" s="672"/>
      <c r="JEV30" s="672"/>
      <c r="JEW30" s="672"/>
      <c r="JEX30" s="672"/>
      <c r="JEY30" s="672"/>
      <c r="JEZ30" s="672"/>
      <c r="JFA30" s="672"/>
      <c r="JFB30" s="672"/>
      <c r="JFC30" s="672"/>
      <c r="JFD30" s="672"/>
      <c r="JFE30" s="672"/>
      <c r="JFF30" s="672"/>
      <c r="JFG30" s="672"/>
      <c r="JFH30" s="672"/>
      <c r="JFI30" s="672"/>
      <c r="JFJ30" s="672"/>
      <c r="JFK30" s="672"/>
      <c r="JFL30" s="672"/>
      <c r="JFM30" s="672"/>
      <c r="JFN30" s="672"/>
      <c r="JFO30" s="672"/>
      <c r="JFP30" s="672"/>
      <c r="JFQ30" s="672"/>
      <c r="JFR30" s="672"/>
      <c r="JFS30" s="672"/>
      <c r="JFT30" s="672"/>
      <c r="JFU30" s="672"/>
      <c r="JFV30" s="672"/>
      <c r="JFW30" s="672"/>
      <c r="JFX30" s="672"/>
      <c r="JFY30" s="672"/>
      <c r="JFZ30" s="672"/>
      <c r="JGA30" s="672"/>
      <c r="JGB30" s="672"/>
      <c r="JGC30" s="672"/>
      <c r="JGD30" s="672"/>
      <c r="JGE30" s="672"/>
      <c r="JGF30" s="672"/>
      <c r="JGG30" s="672"/>
      <c r="JGH30" s="672"/>
      <c r="JGI30" s="672"/>
      <c r="JGJ30" s="672"/>
      <c r="JGK30" s="672"/>
      <c r="JGL30" s="672"/>
      <c r="JGM30" s="672"/>
      <c r="JGN30" s="672"/>
      <c r="JGO30" s="672"/>
      <c r="JGP30" s="672"/>
      <c r="JGQ30" s="672"/>
      <c r="JGR30" s="672"/>
      <c r="JGS30" s="672"/>
      <c r="JGT30" s="672"/>
      <c r="JGU30" s="672"/>
      <c r="JGV30" s="672"/>
      <c r="JGW30" s="672"/>
      <c r="JGX30" s="672"/>
      <c r="JGY30" s="672"/>
      <c r="JGZ30" s="672"/>
      <c r="JHA30" s="672"/>
      <c r="JHB30" s="672"/>
      <c r="JHC30" s="672"/>
      <c r="JHD30" s="672"/>
      <c r="JHE30" s="672"/>
      <c r="JHF30" s="672"/>
      <c r="JHG30" s="672"/>
      <c r="JHH30" s="672"/>
      <c r="JHI30" s="672"/>
      <c r="JHJ30" s="672"/>
      <c r="JHK30" s="672"/>
      <c r="JHL30" s="672"/>
      <c r="JHM30" s="672"/>
      <c r="JHN30" s="672"/>
      <c r="JHO30" s="672"/>
      <c r="JHP30" s="672"/>
      <c r="JHQ30" s="672"/>
      <c r="JHR30" s="672"/>
      <c r="JHS30" s="672"/>
      <c r="JHT30" s="672"/>
      <c r="JHU30" s="672"/>
      <c r="JHV30" s="672"/>
      <c r="JHW30" s="672"/>
      <c r="JHX30" s="672"/>
      <c r="JHY30" s="672"/>
      <c r="JHZ30" s="672"/>
      <c r="JIA30" s="672"/>
      <c r="JIB30" s="672"/>
      <c r="JIC30" s="672"/>
      <c r="JID30" s="672"/>
      <c r="JIE30" s="672"/>
      <c r="JIF30" s="672"/>
      <c r="JIG30" s="672"/>
      <c r="JIH30" s="672"/>
      <c r="JII30" s="672"/>
      <c r="JIJ30" s="672"/>
      <c r="JIK30" s="672"/>
      <c r="JIL30" s="672"/>
      <c r="JIM30" s="672"/>
      <c r="JIN30" s="672"/>
      <c r="JIO30" s="672"/>
      <c r="JIP30" s="672"/>
      <c r="JIQ30" s="672"/>
      <c r="JIR30" s="672"/>
      <c r="JIS30" s="672"/>
      <c r="JIT30" s="672"/>
      <c r="JIU30" s="672"/>
      <c r="JIV30" s="672"/>
      <c r="JIW30" s="672"/>
      <c r="JIX30" s="672"/>
      <c r="JIY30" s="672"/>
      <c r="JIZ30" s="672"/>
      <c r="JJA30" s="672"/>
      <c r="JJB30" s="672"/>
      <c r="JJC30" s="672"/>
      <c r="JJD30" s="672"/>
      <c r="JJE30" s="672"/>
      <c r="JJF30" s="672"/>
      <c r="JJG30" s="672"/>
      <c r="JJH30" s="672"/>
      <c r="JJI30" s="672"/>
      <c r="JJJ30" s="672"/>
      <c r="JJK30" s="672"/>
      <c r="JJL30" s="672"/>
      <c r="JJM30" s="672"/>
      <c r="JJN30" s="672"/>
      <c r="JJO30" s="672"/>
      <c r="JJP30" s="672"/>
      <c r="JJQ30" s="672"/>
      <c r="JJR30" s="672"/>
      <c r="JJS30" s="672"/>
      <c r="JJT30" s="672"/>
      <c r="JJU30" s="672"/>
      <c r="JJV30" s="672"/>
      <c r="JJW30" s="672"/>
      <c r="JJX30" s="672"/>
      <c r="JJY30" s="672"/>
      <c r="JJZ30" s="672"/>
      <c r="JKA30" s="672"/>
      <c r="JKB30" s="672"/>
      <c r="JKC30" s="672"/>
      <c r="JKD30" s="672"/>
      <c r="JKE30" s="672"/>
      <c r="JKF30" s="672"/>
      <c r="JKG30" s="672"/>
      <c r="JKH30" s="672"/>
      <c r="JKI30" s="672"/>
      <c r="JKJ30" s="672"/>
      <c r="JKK30" s="672"/>
      <c r="JKL30" s="672"/>
      <c r="JKM30" s="672"/>
      <c r="JKN30" s="672"/>
      <c r="JKO30" s="672"/>
      <c r="JKP30" s="672"/>
      <c r="JKQ30" s="672"/>
      <c r="JKR30" s="672"/>
      <c r="JKS30" s="672"/>
      <c r="JKT30" s="672"/>
      <c r="JKU30" s="672"/>
      <c r="JKV30" s="672"/>
      <c r="JKW30" s="672"/>
      <c r="JKX30" s="672"/>
      <c r="JKY30" s="672"/>
      <c r="JKZ30" s="672"/>
      <c r="JLA30" s="672"/>
      <c r="JLB30" s="672"/>
      <c r="JLC30" s="672"/>
      <c r="JLD30" s="672"/>
      <c r="JLE30" s="672"/>
      <c r="JLF30" s="672"/>
      <c r="JLG30" s="672"/>
      <c r="JLH30" s="672"/>
      <c r="JLI30" s="672"/>
      <c r="JLJ30" s="672"/>
      <c r="JLK30" s="672"/>
      <c r="JLL30" s="672"/>
      <c r="JLM30" s="672"/>
      <c r="JLN30" s="672"/>
      <c r="JLO30" s="672"/>
      <c r="JLP30" s="672"/>
      <c r="JLQ30" s="672"/>
      <c r="JLR30" s="672"/>
      <c r="JLS30" s="672"/>
      <c r="JLT30" s="672"/>
      <c r="JLU30" s="672"/>
      <c r="JLV30" s="672"/>
      <c r="JLW30" s="672"/>
      <c r="JLX30" s="672"/>
      <c r="JLY30" s="672"/>
      <c r="JLZ30" s="672"/>
      <c r="JMA30" s="672"/>
      <c r="JMB30" s="672"/>
      <c r="JMC30" s="672"/>
      <c r="JMD30" s="672"/>
      <c r="JME30" s="672"/>
      <c r="JMF30" s="672"/>
      <c r="JMG30" s="672"/>
      <c r="JMH30" s="672"/>
      <c r="JMI30" s="672"/>
      <c r="JMJ30" s="672"/>
      <c r="JMK30" s="672"/>
      <c r="JML30" s="672"/>
      <c r="JMM30" s="672"/>
      <c r="JMN30" s="672"/>
      <c r="JMO30" s="672"/>
      <c r="JMP30" s="672"/>
      <c r="JMQ30" s="672"/>
      <c r="JMR30" s="672"/>
      <c r="JMS30" s="672"/>
      <c r="JMT30" s="672"/>
      <c r="JMU30" s="672"/>
      <c r="JMV30" s="672"/>
      <c r="JMW30" s="672"/>
      <c r="JMX30" s="672"/>
      <c r="JMY30" s="672"/>
      <c r="JMZ30" s="672"/>
      <c r="JNA30" s="672"/>
      <c r="JNB30" s="672"/>
      <c r="JNC30" s="672"/>
      <c r="JND30" s="672"/>
      <c r="JNE30" s="672"/>
      <c r="JNF30" s="672"/>
      <c r="JNG30" s="672"/>
      <c r="JNH30" s="672"/>
      <c r="JNI30" s="672"/>
      <c r="JNJ30" s="672"/>
      <c r="JNK30" s="672"/>
      <c r="JNL30" s="672"/>
      <c r="JNM30" s="672"/>
      <c r="JNN30" s="672"/>
      <c r="JNO30" s="672"/>
      <c r="JNP30" s="672"/>
      <c r="JNQ30" s="672"/>
      <c r="JNR30" s="672"/>
      <c r="JNS30" s="672"/>
      <c r="JNT30" s="672"/>
      <c r="JNU30" s="672"/>
      <c r="JNV30" s="672"/>
      <c r="JNW30" s="672"/>
      <c r="JNX30" s="672"/>
      <c r="JNY30" s="672"/>
      <c r="JNZ30" s="672"/>
      <c r="JOA30" s="672"/>
      <c r="JOB30" s="672"/>
      <c r="JOC30" s="672"/>
      <c r="JOD30" s="672"/>
      <c r="JOE30" s="672"/>
      <c r="JOF30" s="672"/>
      <c r="JOG30" s="672"/>
      <c r="JOH30" s="672"/>
      <c r="JOI30" s="672"/>
      <c r="JOJ30" s="672"/>
      <c r="JOK30" s="672"/>
      <c r="JOL30" s="672"/>
      <c r="JOM30" s="672"/>
      <c r="JON30" s="672"/>
      <c r="JOO30" s="672"/>
      <c r="JOP30" s="672"/>
      <c r="JOQ30" s="672"/>
      <c r="JOR30" s="672"/>
      <c r="JOS30" s="672"/>
      <c r="JOT30" s="672"/>
      <c r="JOU30" s="672"/>
      <c r="JOV30" s="672"/>
      <c r="JOW30" s="672"/>
      <c r="JOX30" s="672"/>
      <c r="JOY30" s="672"/>
      <c r="JOZ30" s="672"/>
      <c r="JPA30" s="672"/>
      <c r="JPB30" s="672"/>
      <c r="JPC30" s="672"/>
      <c r="JPD30" s="672"/>
      <c r="JPE30" s="672"/>
      <c r="JPF30" s="672"/>
      <c r="JPG30" s="672"/>
      <c r="JPH30" s="672"/>
      <c r="JPI30" s="672"/>
      <c r="JPJ30" s="672"/>
      <c r="JPK30" s="672"/>
      <c r="JPL30" s="672"/>
      <c r="JPM30" s="672"/>
      <c r="JPN30" s="672"/>
      <c r="JPO30" s="672"/>
      <c r="JPP30" s="672"/>
      <c r="JPQ30" s="672"/>
      <c r="JPR30" s="672"/>
      <c r="JPS30" s="672"/>
      <c r="JPT30" s="672"/>
      <c r="JPU30" s="672"/>
      <c r="JPV30" s="672"/>
      <c r="JPW30" s="672"/>
      <c r="JPX30" s="672"/>
      <c r="JPY30" s="672"/>
      <c r="JPZ30" s="672"/>
      <c r="JQA30" s="672"/>
      <c r="JQB30" s="672"/>
      <c r="JQC30" s="672"/>
      <c r="JQD30" s="672"/>
      <c r="JQE30" s="672"/>
      <c r="JQF30" s="672"/>
      <c r="JQG30" s="672"/>
      <c r="JQH30" s="672"/>
      <c r="JQI30" s="672"/>
      <c r="JQJ30" s="672"/>
      <c r="JQK30" s="672"/>
      <c r="JQL30" s="672"/>
      <c r="JQM30" s="672"/>
      <c r="JQN30" s="672"/>
      <c r="JQO30" s="672"/>
      <c r="JQP30" s="672"/>
      <c r="JQQ30" s="672"/>
      <c r="JQR30" s="672"/>
      <c r="JQS30" s="672"/>
      <c r="JQT30" s="672"/>
      <c r="JQU30" s="672"/>
      <c r="JQV30" s="672"/>
      <c r="JQW30" s="672"/>
      <c r="JQX30" s="672"/>
      <c r="JQY30" s="672"/>
      <c r="JQZ30" s="672"/>
      <c r="JRA30" s="672"/>
      <c r="JRB30" s="672"/>
      <c r="JRC30" s="672"/>
      <c r="JRD30" s="672"/>
      <c r="JRE30" s="672"/>
      <c r="JRF30" s="672"/>
      <c r="JRG30" s="672"/>
      <c r="JRH30" s="672"/>
      <c r="JRI30" s="672"/>
      <c r="JRJ30" s="672"/>
      <c r="JRK30" s="672"/>
      <c r="JRL30" s="672"/>
      <c r="JRM30" s="672"/>
      <c r="JRN30" s="672"/>
      <c r="JRO30" s="672"/>
      <c r="JRP30" s="672"/>
      <c r="JRQ30" s="672"/>
      <c r="JRR30" s="672"/>
      <c r="JRS30" s="672"/>
      <c r="JRT30" s="672"/>
      <c r="JRU30" s="672"/>
      <c r="JRV30" s="672"/>
      <c r="JRW30" s="672"/>
      <c r="JRX30" s="672"/>
      <c r="JRY30" s="672"/>
      <c r="JRZ30" s="672"/>
      <c r="JSA30" s="672"/>
      <c r="JSB30" s="672"/>
      <c r="JSC30" s="672"/>
      <c r="JSD30" s="672"/>
      <c r="JSE30" s="672"/>
      <c r="JSF30" s="672"/>
      <c r="JSG30" s="672"/>
      <c r="JSH30" s="672"/>
      <c r="JSI30" s="672"/>
      <c r="JSJ30" s="672"/>
      <c r="JSK30" s="672"/>
      <c r="JSL30" s="672"/>
      <c r="JSM30" s="672"/>
      <c r="JSN30" s="672"/>
      <c r="JSO30" s="672"/>
      <c r="JSP30" s="672"/>
      <c r="JSQ30" s="672"/>
      <c r="JSR30" s="672"/>
      <c r="JSS30" s="672"/>
      <c r="JST30" s="672"/>
      <c r="JSU30" s="672"/>
      <c r="JSV30" s="672"/>
      <c r="JSW30" s="672"/>
      <c r="JSX30" s="672"/>
      <c r="JSY30" s="672"/>
      <c r="JSZ30" s="672"/>
      <c r="JTA30" s="672"/>
      <c r="JTB30" s="672"/>
      <c r="JTC30" s="672"/>
      <c r="JTD30" s="672"/>
      <c r="JTE30" s="672"/>
      <c r="JTF30" s="672"/>
      <c r="JTG30" s="672"/>
      <c r="JTH30" s="672"/>
      <c r="JTI30" s="672"/>
      <c r="JTJ30" s="672"/>
      <c r="JTK30" s="672"/>
      <c r="JTL30" s="672"/>
      <c r="JTM30" s="672"/>
      <c r="JTN30" s="672"/>
      <c r="JTO30" s="672"/>
      <c r="JTP30" s="672"/>
      <c r="JTQ30" s="672"/>
      <c r="JTR30" s="672"/>
      <c r="JTS30" s="672"/>
      <c r="JTT30" s="672"/>
      <c r="JTU30" s="672"/>
      <c r="JTV30" s="672"/>
      <c r="JTW30" s="672"/>
      <c r="JTX30" s="672"/>
      <c r="JTY30" s="672"/>
      <c r="JTZ30" s="672"/>
      <c r="JUA30" s="672"/>
      <c r="JUB30" s="672"/>
      <c r="JUC30" s="672"/>
      <c r="JUD30" s="672"/>
      <c r="JUE30" s="672"/>
      <c r="JUF30" s="672"/>
      <c r="JUG30" s="672"/>
      <c r="JUH30" s="672"/>
      <c r="JUI30" s="672"/>
      <c r="JUJ30" s="672"/>
      <c r="JUK30" s="672"/>
      <c r="JUL30" s="672"/>
      <c r="JUM30" s="672"/>
      <c r="JUN30" s="672"/>
      <c r="JUO30" s="672"/>
      <c r="JUP30" s="672"/>
      <c r="JUQ30" s="672"/>
      <c r="JUR30" s="672"/>
      <c r="JUS30" s="672"/>
      <c r="JUT30" s="672"/>
      <c r="JUU30" s="672"/>
      <c r="JUV30" s="672"/>
      <c r="JUW30" s="672"/>
      <c r="JUX30" s="672"/>
      <c r="JUY30" s="672"/>
      <c r="JUZ30" s="672"/>
      <c r="JVA30" s="672"/>
      <c r="JVB30" s="672"/>
      <c r="JVC30" s="672"/>
      <c r="JVD30" s="672"/>
      <c r="JVE30" s="672"/>
      <c r="JVF30" s="672"/>
      <c r="JVG30" s="672"/>
      <c r="JVH30" s="672"/>
      <c r="JVI30" s="672"/>
      <c r="JVJ30" s="672"/>
      <c r="JVK30" s="672"/>
      <c r="JVL30" s="672"/>
      <c r="JVM30" s="672"/>
      <c r="JVN30" s="672"/>
      <c r="JVO30" s="672"/>
      <c r="JVP30" s="672"/>
      <c r="JVQ30" s="672"/>
      <c r="JVR30" s="672"/>
      <c r="JVS30" s="672"/>
      <c r="JVT30" s="672"/>
      <c r="JVU30" s="672"/>
      <c r="JVV30" s="672"/>
      <c r="JVW30" s="672"/>
      <c r="JVX30" s="672"/>
      <c r="JVY30" s="672"/>
      <c r="JVZ30" s="672"/>
      <c r="JWA30" s="672"/>
      <c r="JWB30" s="672"/>
      <c r="JWC30" s="672"/>
      <c r="JWD30" s="672"/>
      <c r="JWE30" s="672"/>
      <c r="JWF30" s="672"/>
      <c r="JWG30" s="672"/>
      <c r="JWH30" s="672"/>
      <c r="JWI30" s="672"/>
      <c r="JWJ30" s="672"/>
      <c r="JWK30" s="672"/>
      <c r="JWL30" s="672"/>
      <c r="JWM30" s="672"/>
      <c r="JWN30" s="672"/>
      <c r="JWO30" s="672"/>
      <c r="JWP30" s="672"/>
      <c r="JWQ30" s="672"/>
      <c r="JWR30" s="672"/>
      <c r="JWS30" s="672"/>
      <c r="JWT30" s="672"/>
      <c r="JWU30" s="672"/>
      <c r="JWV30" s="672"/>
      <c r="JWW30" s="672"/>
      <c r="JWX30" s="672"/>
      <c r="JWY30" s="672"/>
      <c r="JWZ30" s="672"/>
      <c r="JXA30" s="672"/>
      <c r="JXB30" s="672"/>
      <c r="JXC30" s="672"/>
      <c r="JXD30" s="672"/>
      <c r="JXE30" s="672"/>
      <c r="JXF30" s="672"/>
      <c r="JXG30" s="672"/>
      <c r="JXH30" s="672"/>
      <c r="JXI30" s="672"/>
      <c r="JXJ30" s="672"/>
      <c r="JXK30" s="672"/>
      <c r="JXL30" s="672"/>
      <c r="JXM30" s="672"/>
      <c r="JXN30" s="672"/>
      <c r="JXO30" s="672"/>
      <c r="JXP30" s="672"/>
      <c r="JXQ30" s="672"/>
      <c r="JXR30" s="672"/>
      <c r="JXS30" s="672"/>
      <c r="JXT30" s="672"/>
      <c r="JXU30" s="672"/>
      <c r="JXV30" s="672"/>
      <c r="JXW30" s="672"/>
      <c r="JXX30" s="672"/>
      <c r="JXY30" s="672"/>
      <c r="JXZ30" s="672"/>
      <c r="JYA30" s="672"/>
      <c r="JYB30" s="672"/>
      <c r="JYC30" s="672"/>
      <c r="JYD30" s="672"/>
      <c r="JYE30" s="672"/>
      <c r="JYF30" s="672"/>
      <c r="JYG30" s="672"/>
      <c r="JYH30" s="672"/>
      <c r="JYI30" s="672"/>
      <c r="JYJ30" s="672"/>
      <c r="JYK30" s="672"/>
      <c r="JYL30" s="672"/>
      <c r="JYM30" s="672"/>
      <c r="JYN30" s="672"/>
      <c r="JYO30" s="672"/>
      <c r="JYP30" s="672"/>
      <c r="JYQ30" s="672"/>
      <c r="JYR30" s="672"/>
      <c r="JYS30" s="672"/>
      <c r="JYT30" s="672"/>
      <c r="JYU30" s="672"/>
      <c r="JYV30" s="672"/>
      <c r="JYW30" s="672"/>
      <c r="JYX30" s="672"/>
      <c r="JYY30" s="672"/>
      <c r="JYZ30" s="672"/>
      <c r="JZA30" s="672"/>
      <c r="JZB30" s="672"/>
      <c r="JZC30" s="672"/>
      <c r="JZD30" s="672"/>
      <c r="JZE30" s="672"/>
      <c r="JZF30" s="672"/>
      <c r="JZG30" s="672"/>
      <c r="JZH30" s="672"/>
      <c r="JZI30" s="672"/>
      <c r="JZJ30" s="672"/>
      <c r="JZK30" s="672"/>
      <c r="JZL30" s="672"/>
      <c r="JZM30" s="672"/>
      <c r="JZN30" s="672"/>
      <c r="JZO30" s="672"/>
      <c r="JZP30" s="672"/>
      <c r="JZQ30" s="672"/>
      <c r="JZR30" s="672"/>
      <c r="JZS30" s="672"/>
      <c r="JZT30" s="672"/>
      <c r="JZU30" s="672"/>
      <c r="JZV30" s="672"/>
      <c r="JZW30" s="672"/>
      <c r="JZX30" s="672"/>
      <c r="JZY30" s="672"/>
      <c r="JZZ30" s="672"/>
      <c r="KAA30" s="672"/>
      <c r="KAB30" s="672"/>
      <c r="KAC30" s="672"/>
      <c r="KAD30" s="672"/>
      <c r="KAE30" s="672"/>
      <c r="KAF30" s="672"/>
      <c r="KAG30" s="672"/>
      <c r="KAH30" s="672"/>
      <c r="KAI30" s="672"/>
      <c r="KAJ30" s="672"/>
      <c r="KAK30" s="672"/>
      <c r="KAL30" s="672"/>
      <c r="KAM30" s="672"/>
      <c r="KAN30" s="672"/>
      <c r="KAO30" s="672"/>
      <c r="KAP30" s="672"/>
      <c r="KAQ30" s="672"/>
      <c r="KAR30" s="672"/>
      <c r="KAS30" s="672"/>
      <c r="KAT30" s="672"/>
      <c r="KAU30" s="672"/>
      <c r="KAV30" s="672"/>
      <c r="KAW30" s="672"/>
      <c r="KAX30" s="672"/>
      <c r="KAY30" s="672"/>
      <c r="KAZ30" s="672"/>
      <c r="KBA30" s="672"/>
      <c r="KBB30" s="672"/>
      <c r="KBC30" s="672"/>
      <c r="KBD30" s="672"/>
      <c r="KBE30" s="672"/>
      <c r="KBF30" s="672"/>
      <c r="KBG30" s="672"/>
      <c r="KBH30" s="672"/>
      <c r="KBI30" s="672"/>
      <c r="KBJ30" s="672"/>
      <c r="KBK30" s="672"/>
      <c r="KBL30" s="672"/>
      <c r="KBM30" s="672"/>
      <c r="KBN30" s="672"/>
      <c r="KBO30" s="672"/>
      <c r="KBP30" s="672"/>
      <c r="KBQ30" s="672"/>
      <c r="KBR30" s="672"/>
      <c r="KBS30" s="672"/>
      <c r="KBT30" s="672"/>
      <c r="KBU30" s="672"/>
      <c r="KBV30" s="672"/>
      <c r="KBW30" s="672"/>
      <c r="KBX30" s="672"/>
      <c r="KBY30" s="672"/>
      <c r="KBZ30" s="672"/>
      <c r="KCA30" s="672"/>
      <c r="KCB30" s="672"/>
      <c r="KCC30" s="672"/>
      <c r="KCD30" s="672"/>
      <c r="KCE30" s="672"/>
      <c r="KCF30" s="672"/>
      <c r="KCG30" s="672"/>
      <c r="KCH30" s="672"/>
      <c r="KCI30" s="672"/>
      <c r="KCJ30" s="672"/>
      <c r="KCK30" s="672"/>
      <c r="KCL30" s="672"/>
      <c r="KCM30" s="672"/>
      <c r="KCN30" s="672"/>
      <c r="KCO30" s="672"/>
      <c r="KCP30" s="672"/>
      <c r="KCQ30" s="672"/>
      <c r="KCR30" s="672"/>
      <c r="KCS30" s="672"/>
      <c r="KCT30" s="672"/>
      <c r="KCU30" s="672"/>
      <c r="KCV30" s="672"/>
      <c r="KCW30" s="672"/>
      <c r="KCX30" s="672"/>
      <c r="KCY30" s="672"/>
      <c r="KCZ30" s="672"/>
      <c r="KDA30" s="672"/>
      <c r="KDB30" s="672"/>
      <c r="KDC30" s="672"/>
      <c r="KDD30" s="672"/>
      <c r="KDE30" s="672"/>
      <c r="KDF30" s="672"/>
      <c r="KDG30" s="672"/>
      <c r="KDH30" s="672"/>
      <c r="KDI30" s="672"/>
      <c r="KDJ30" s="672"/>
      <c r="KDK30" s="672"/>
      <c r="KDL30" s="672"/>
      <c r="KDM30" s="672"/>
      <c r="KDN30" s="672"/>
      <c r="KDO30" s="672"/>
      <c r="KDP30" s="672"/>
      <c r="KDQ30" s="672"/>
      <c r="KDR30" s="672"/>
      <c r="KDS30" s="672"/>
      <c r="KDT30" s="672"/>
      <c r="KDU30" s="672"/>
      <c r="KDV30" s="672"/>
      <c r="KDW30" s="672"/>
      <c r="KDX30" s="672"/>
      <c r="KDY30" s="672"/>
      <c r="KDZ30" s="672"/>
      <c r="KEA30" s="672"/>
      <c r="KEB30" s="672"/>
      <c r="KEC30" s="672"/>
      <c r="KED30" s="672"/>
      <c r="KEE30" s="672"/>
      <c r="KEF30" s="672"/>
      <c r="KEG30" s="672"/>
      <c r="KEH30" s="672"/>
      <c r="KEI30" s="672"/>
      <c r="KEJ30" s="672"/>
      <c r="KEK30" s="672"/>
      <c r="KEL30" s="672"/>
      <c r="KEM30" s="672"/>
      <c r="KEN30" s="672"/>
      <c r="KEO30" s="672"/>
      <c r="KEP30" s="672"/>
      <c r="KEQ30" s="672"/>
      <c r="KER30" s="672"/>
      <c r="KES30" s="672"/>
      <c r="KET30" s="672"/>
      <c r="KEU30" s="672"/>
      <c r="KEV30" s="672"/>
      <c r="KEW30" s="672"/>
      <c r="KEX30" s="672"/>
      <c r="KEY30" s="672"/>
      <c r="KEZ30" s="672"/>
      <c r="KFA30" s="672"/>
      <c r="KFB30" s="672"/>
      <c r="KFC30" s="672"/>
      <c r="KFD30" s="672"/>
      <c r="KFE30" s="672"/>
      <c r="KFF30" s="672"/>
      <c r="KFG30" s="672"/>
      <c r="KFH30" s="672"/>
      <c r="KFI30" s="672"/>
      <c r="KFJ30" s="672"/>
      <c r="KFK30" s="672"/>
      <c r="KFL30" s="672"/>
      <c r="KFM30" s="672"/>
      <c r="KFN30" s="672"/>
      <c r="KFO30" s="672"/>
      <c r="KFP30" s="672"/>
      <c r="KFQ30" s="672"/>
      <c r="KFR30" s="672"/>
      <c r="KFS30" s="672"/>
      <c r="KFT30" s="672"/>
      <c r="KFU30" s="672"/>
      <c r="KFV30" s="672"/>
      <c r="KFW30" s="672"/>
      <c r="KFX30" s="672"/>
      <c r="KFY30" s="672"/>
      <c r="KFZ30" s="672"/>
      <c r="KGA30" s="672"/>
      <c r="KGB30" s="672"/>
      <c r="KGC30" s="672"/>
      <c r="KGD30" s="672"/>
      <c r="KGE30" s="672"/>
      <c r="KGF30" s="672"/>
      <c r="KGG30" s="672"/>
      <c r="KGH30" s="672"/>
      <c r="KGI30" s="672"/>
      <c r="KGJ30" s="672"/>
      <c r="KGK30" s="672"/>
      <c r="KGL30" s="672"/>
      <c r="KGM30" s="672"/>
      <c r="KGN30" s="672"/>
      <c r="KGO30" s="672"/>
      <c r="KGP30" s="672"/>
      <c r="KGQ30" s="672"/>
      <c r="KGR30" s="672"/>
      <c r="KGS30" s="672"/>
      <c r="KGT30" s="672"/>
      <c r="KGU30" s="672"/>
      <c r="KGV30" s="672"/>
      <c r="KGW30" s="672"/>
      <c r="KGX30" s="672"/>
      <c r="KGY30" s="672"/>
      <c r="KGZ30" s="672"/>
      <c r="KHA30" s="672"/>
      <c r="KHB30" s="672"/>
      <c r="KHC30" s="672"/>
      <c r="KHD30" s="672"/>
      <c r="KHE30" s="672"/>
      <c r="KHF30" s="672"/>
      <c r="KHG30" s="672"/>
      <c r="KHH30" s="672"/>
      <c r="KHI30" s="672"/>
      <c r="KHJ30" s="672"/>
      <c r="KHK30" s="672"/>
      <c r="KHL30" s="672"/>
      <c r="KHM30" s="672"/>
      <c r="KHN30" s="672"/>
      <c r="KHO30" s="672"/>
      <c r="KHP30" s="672"/>
      <c r="KHQ30" s="672"/>
      <c r="KHR30" s="672"/>
      <c r="KHS30" s="672"/>
      <c r="KHT30" s="672"/>
      <c r="KHU30" s="672"/>
      <c r="KHV30" s="672"/>
      <c r="KHW30" s="672"/>
      <c r="KHX30" s="672"/>
      <c r="KHY30" s="672"/>
      <c r="KHZ30" s="672"/>
      <c r="KIA30" s="672"/>
      <c r="KIB30" s="672"/>
      <c r="KIC30" s="672"/>
      <c r="KID30" s="672"/>
      <c r="KIE30" s="672"/>
      <c r="KIF30" s="672"/>
      <c r="KIG30" s="672"/>
      <c r="KIH30" s="672"/>
      <c r="KII30" s="672"/>
      <c r="KIJ30" s="672"/>
      <c r="KIK30" s="672"/>
      <c r="KIL30" s="672"/>
      <c r="KIM30" s="672"/>
      <c r="KIN30" s="672"/>
      <c r="KIO30" s="672"/>
      <c r="KIP30" s="672"/>
      <c r="KIQ30" s="672"/>
      <c r="KIR30" s="672"/>
      <c r="KIS30" s="672"/>
      <c r="KIT30" s="672"/>
      <c r="KIU30" s="672"/>
      <c r="KIV30" s="672"/>
      <c r="KIW30" s="672"/>
      <c r="KIX30" s="672"/>
      <c r="KIY30" s="672"/>
      <c r="KIZ30" s="672"/>
      <c r="KJA30" s="672"/>
      <c r="KJB30" s="672"/>
      <c r="KJC30" s="672"/>
      <c r="KJD30" s="672"/>
      <c r="KJE30" s="672"/>
      <c r="KJF30" s="672"/>
      <c r="KJG30" s="672"/>
      <c r="KJH30" s="672"/>
      <c r="KJI30" s="672"/>
      <c r="KJJ30" s="672"/>
      <c r="KJK30" s="672"/>
      <c r="KJL30" s="672"/>
      <c r="KJM30" s="672"/>
      <c r="KJN30" s="672"/>
      <c r="KJO30" s="672"/>
      <c r="KJP30" s="672"/>
      <c r="KJQ30" s="672"/>
      <c r="KJR30" s="672"/>
      <c r="KJS30" s="672"/>
      <c r="KJT30" s="672"/>
      <c r="KJU30" s="672"/>
      <c r="KJV30" s="672"/>
      <c r="KJW30" s="672"/>
      <c r="KJX30" s="672"/>
      <c r="KJY30" s="672"/>
      <c r="KJZ30" s="672"/>
      <c r="KKA30" s="672"/>
      <c r="KKB30" s="672"/>
      <c r="KKC30" s="672"/>
      <c r="KKD30" s="672"/>
      <c r="KKE30" s="672"/>
      <c r="KKF30" s="672"/>
      <c r="KKG30" s="672"/>
      <c r="KKH30" s="672"/>
      <c r="KKI30" s="672"/>
      <c r="KKJ30" s="672"/>
      <c r="KKK30" s="672"/>
      <c r="KKL30" s="672"/>
      <c r="KKM30" s="672"/>
      <c r="KKN30" s="672"/>
      <c r="KKO30" s="672"/>
      <c r="KKP30" s="672"/>
      <c r="KKQ30" s="672"/>
      <c r="KKR30" s="672"/>
      <c r="KKS30" s="672"/>
      <c r="KKT30" s="672"/>
      <c r="KKU30" s="672"/>
      <c r="KKV30" s="672"/>
      <c r="KKW30" s="672"/>
      <c r="KKX30" s="672"/>
      <c r="KKY30" s="672"/>
      <c r="KKZ30" s="672"/>
      <c r="KLA30" s="672"/>
      <c r="KLB30" s="672"/>
      <c r="KLC30" s="672"/>
      <c r="KLD30" s="672"/>
      <c r="KLE30" s="672"/>
      <c r="KLF30" s="672"/>
      <c r="KLG30" s="672"/>
      <c r="KLH30" s="672"/>
      <c r="KLI30" s="672"/>
      <c r="KLJ30" s="672"/>
      <c r="KLK30" s="672"/>
      <c r="KLL30" s="672"/>
      <c r="KLM30" s="672"/>
      <c r="KLN30" s="672"/>
      <c r="KLO30" s="672"/>
      <c r="KLP30" s="672"/>
      <c r="KLQ30" s="672"/>
      <c r="KLR30" s="672"/>
      <c r="KLS30" s="672"/>
      <c r="KLT30" s="672"/>
      <c r="KLU30" s="672"/>
      <c r="KLV30" s="672"/>
      <c r="KLW30" s="672"/>
      <c r="KLX30" s="672"/>
      <c r="KLY30" s="672"/>
      <c r="KLZ30" s="672"/>
      <c r="KMA30" s="672"/>
      <c r="KMB30" s="672"/>
      <c r="KMC30" s="672"/>
      <c r="KMD30" s="672"/>
      <c r="KME30" s="672"/>
      <c r="KMF30" s="672"/>
      <c r="KMG30" s="672"/>
      <c r="KMH30" s="672"/>
      <c r="KMI30" s="672"/>
      <c r="KMJ30" s="672"/>
      <c r="KMK30" s="672"/>
      <c r="KML30" s="672"/>
      <c r="KMM30" s="672"/>
      <c r="KMN30" s="672"/>
      <c r="KMO30" s="672"/>
      <c r="KMP30" s="672"/>
      <c r="KMQ30" s="672"/>
      <c r="KMR30" s="672"/>
      <c r="KMS30" s="672"/>
      <c r="KMT30" s="672"/>
      <c r="KMU30" s="672"/>
      <c r="KMV30" s="672"/>
      <c r="KMW30" s="672"/>
      <c r="KMX30" s="672"/>
      <c r="KMY30" s="672"/>
      <c r="KMZ30" s="672"/>
      <c r="KNA30" s="672"/>
      <c r="KNB30" s="672"/>
      <c r="KNC30" s="672"/>
      <c r="KND30" s="672"/>
      <c r="KNE30" s="672"/>
      <c r="KNF30" s="672"/>
      <c r="KNG30" s="672"/>
      <c r="KNH30" s="672"/>
      <c r="KNI30" s="672"/>
      <c r="KNJ30" s="672"/>
      <c r="KNK30" s="672"/>
      <c r="KNL30" s="672"/>
      <c r="KNM30" s="672"/>
      <c r="KNN30" s="672"/>
      <c r="KNO30" s="672"/>
      <c r="KNP30" s="672"/>
      <c r="KNQ30" s="672"/>
      <c r="KNR30" s="672"/>
      <c r="KNS30" s="672"/>
      <c r="KNT30" s="672"/>
      <c r="KNU30" s="672"/>
      <c r="KNV30" s="672"/>
      <c r="KNW30" s="672"/>
      <c r="KNX30" s="672"/>
      <c r="KNY30" s="672"/>
      <c r="KNZ30" s="672"/>
      <c r="KOA30" s="672"/>
      <c r="KOB30" s="672"/>
      <c r="KOC30" s="672"/>
      <c r="KOD30" s="672"/>
      <c r="KOE30" s="672"/>
      <c r="KOF30" s="672"/>
      <c r="KOG30" s="672"/>
      <c r="KOH30" s="672"/>
      <c r="KOI30" s="672"/>
      <c r="KOJ30" s="672"/>
      <c r="KOK30" s="672"/>
      <c r="KOL30" s="672"/>
      <c r="KOM30" s="672"/>
      <c r="KON30" s="672"/>
      <c r="KOO30" s="672"/>
      <c r="KOP30" s="672"/>
      <c r="KOQ30" s="672"/>
      <c r="KOR30" s="672"/>
      <c r="KOS30" s="672"/>
      <c r="KOT30" s="672"/>
      <c r="KOU30" s="672"/>
      <c r="KOV30" s="672"/>
      <c r="KOW30" s="672"/>
      <c r="KOX30" s="672"/>
      <c r="KOY30" s="672"/>
      <c r="KOZ30" s="672"/>
      <c r="KPA30" s="672"/>
      <c r="KPB30" s="672"/>
      <c r="KPC30" s="672"/>
      <c r="KPD30" s="672"/>
      <c r="KPE30" s="672"/>
      <c r="KPF30" s="672"/>
      <c r="KPG30" s="672"/>
      <c r="KPH30" s="672"/>
      <c r="KPI30" s="672"/>
      <c r="KPJ30" s="672"/>
      <c r="KPK30" s="672"/>
      <c r="KPL30" s="672"/>
      <c r="KPM30" s="672"/>
      <c r="KPN30" s="672"/>
      <c r="KPO30" s="672"/>
      <c r="KPP30" s="672"/>
      <c r="KPQ30" s="672"/>
      <c r="KPR30" s="672"/>
      <c r="KPS30" s="672"/>
      <c r="KPT30" s="672"/>
      <c r="KPU30" s="672"/>
      <c r="KPV30" s="672"/>
      <c r="KPW30" s="672"/>
      <c r="KPX30" s="672"/>
      <c r="KPY30" s="672"/>
      <c r="KPZ30" s="672"/>
      <c r="KQA30" s="672"/>
      <c r="KQB30" s="672"/>
      <c r="KQC30" s="672"/>
      <c r="KQD30" s="672"/>
      <c r="KQE30" s="672"/>
      <c r="KQF30" s="672"/>
      <c r="KQG30" s="672"/>
      <c r="KQH30" s="672"/>
      <c r="KQI30" s="672"/>
      <c r="KQJ30" s="672"/>
      <c r="KQK30" s="672"/>
      <c r="KQL30" s="672"/>
      <c r="KQM30" s="672"/>
      <c r="KQN30" s="672"/>
      <c r="KQO30" s="672"/>
      <c r="KQP30" s="672"/>
      <c r="KQQ30" s="672"/>
      <c r="KQR30" s="672"/>
      <c r="KQS30" s="672"/>
      <c r="KQT30" s="672"/>
      <c r="KQU30" s="672"/>
      <c r="KQV30" s="672"/>
      <c r="KQW30" s="672"/>
      <c r="KQX30" s="672"/>
      <c r="KQY30" s="672"/>
      <c r="KQZ30" s="672"/>
      <c r="KRA30" s="672"/>
      <c r="KRB30" s="672"/>
      <c r="KRC30" s="672"/>
      <c r="KRD30" s="672"/>
      <c r="KRE30" s="672"/>
      <c r="KRF30" s="672"/>
      <c r="KRG30" s="672"/>
      <c r="KRH30" s="672"/>
      <c r="KRI30" s="672"/>
      <c r="KRJ30" s="672"/>
      <c r="KRK30" s="672"/>
      <c r="KRL30" s="672"/>
      <c r="KRM30" s="672"/>
      <c r="KRN30" s="672"/>
      <c r="KRO30" s="672"/>
      <c r="KRP30" s="672"/>
      <c r="KRQ30" s="672"/>
      <c r="KRR30" s="672"/>
      <c r="KRS30" s="672"/>
      <c r="KRT30" s="672"/>
      <c r="KRU30" s="672"/>
      <c r="KRV30" s="672"/>
      <c r="KRW30" s="672"/>
      <c r="KRX30" s="672"/>
      <c r="KRY30" s="672"/>
      <c r="KRZ30" s="672"/>
      <c r="KSA30" s="672"/>
      <c r="KSB30" s="672"/>
      <c r="KSC30" s="672"/>
      <c r="KSD30" s="672"/>
      <c r="KSE30" s="672"/>
      <c r="KSF30" s="672"/>
      <c r="KSG30" s="672"/>
      <c r="KSH30" s="672"/>
      <c r="KSI30" s="672"/>
      <c r="KSJ30" s="672"/>
      <c r="KSK30" s="672"/>
      <c r="KSL30" s="672"/>
      <c r="KSM30" s="672"/>
      <c r="KSN30" s="672"/>
      <c r="KSO30" s="672"/>
      <c r="KSP30" s="672"/>
      <c r="KSQ30" s="672"/>
      <c r="KSR30" s="672"/>
      <c r="KSS30" s="672"/>
      <c r="KST30" s="672"/>
      <c r="KSU30" s="672"/>
      <c r="KSV30" s="672"/>
      <c r="KSW30" s="672"/>
      <c r="KSX30" s="672"/>
      <c r="KSY30" s="672"/>
      <c r="KSZ30" s="672"/>
      <c r="KTA30" s="672"/>
      <c r="KTB30" s="672"/>
      <c r="KTC30" s="672"/>
      <c r="KTD30" s="672"/>
      <c r="KTE30" s="672"/>
      <c r="KTF30" s="672"/>
      <c r="KTG30" s="672"/>
      <c r="KTH30" s="672"/>
      <c r="KTI30" s="672"/>
      <c r="KTJ30" s="672"/>
      <c r="KTK30" s="672"/>
      <c r="KTL30" s="672"/>
      <c r="KTM30" s="672"/>
      <c r="KTN30" s="672"/>
      <c r="KTO30" s="672"/>
      <c r="KTP30" s="672"/>
      <c r="KTQ30" s="672"/>
      <c r="KTR30" s="672"/>
      <c r="KTS30" s="672"/>
      <c r="KTT30" s="672"/>
      <c r="KTU30" s="672"/>
      <c r="KTV30" s="672"/>
      <c r="KTW30" s="672"/>
      <c r="KTX30" s="672"/>
      <c r="KTY30" s="672"/>
      <c r="KTZ30" s="672"/>
      <c r="KUA30" s="672"/>
      <c r="KUB30" s="672"/>
      <c r="KUC30" s="672"/>
      <c r="KUD30" s="672"/>
      <c r="KUE30" s="672"/>
      <c r="KUF30" s="672"/>
      <c r="KUG30" s="672"/>
      <c r="KUH30" s="672"/>
      <c r="KUI30" s="672"/>
      <c r="KUJ30" s="672"/>
      <c r="KUK30" s="672"/>
      <c r="KUL30" s="672"/>
      <c r="KUM30" s="672"/>
      <c r="KUN30" s="672"/>
      <c r="KUO30" s="672"/>
      <c r="KUP30" s="672"/>
      <c r="KUQ30" s="672"/>
      <c r="KUR30" s="672"/>
      <c r="KUS30" s="672"/>
      <c r="KUT30" s="672"/>
      <c r="KUU30" s="672"/>
      <c r="KUV30" s="672"/>
      <c r="KUW30" s="672"/>
      <c r="KUX30" s="672"/>
      <c r="KUY30" s="672"/>
      <c r="KUZ30" s="672"/>
      <c r="KVA30" s="672"/>
      <c r="KVB30" s="672"/>
      <c r="KVC30" s="672"/>
      <c r="KVD30" s="672"/>
      <c r="KVE30" s="672"/>
      <c r="KVF30" s="672"/>
      <c r="KVG30" s="672"/>
      <c r="KVH30" s="672"/>
      <c r="KVI30" s="672"/>
      <c r="KVJ30" s="672"/>
      <c r="KVK30" s="672"/>
      <c r="KVL30" s="672"/>
      <c r="KVM30" s="672"/>
      <c r="KVN30" s="672"/>
      <c r="KVO30" s="672"/>
      <c r="KVP30" s="672"/>
      <c r="KVQ30" s="672"/>
      <c r="KVR30" s="672"/>
      <c r="KVS30" s="672"/>
      <c r="KVT30" s="672"/>
      <c r="KVU30" s="672"/>
      <c r="KVV30" s="672"/>
      <c r="KVW30" s="672"/>
      <c r="KVX30" s="672"/>
      <c r="KVY30" s="672"/>
      <c r="KVZ30" s="672"/>
      <c r="KWA30" s="672"/>
      <c r="KWB30" s="672"/>
      <c r="KWC30" s="672"/>
      <c r="KWD30" s="672"/>
      <c r="KWE30" s="672"/>
      <c r="KWF30" s="672"/>
      <c r="KWG30" s="672"/>
      <c r="KWH30" s="672"/>
      <c r="KWI30" s="672"/>
      <c r="KWJ30" s="672"/>
      <c r="KWK30" s="672"/>
      <c r="KWL30" s="672"/>
      <c r="KWM30" s="672"/>
      <c r="KWN30" s="672"/>
      <c r="KWO30" s="672"/>
      <c r="KWP30" s="672"/>
      <c r="KWQ30" s="672"/>
      <c r="KWR30" s="672"/>
      <c r="KWS30" s="672"/>
      <c r="KWT30" s="672"/>
      <c r="KWU30" s="672"/>
      <c r="KWV30" s="672"/>
      <c r="KWW30" s="672"/>
      <c r="KWX30" s="672"/>
      <c r="KWY30" s="672"/>
      <c r="KWZ30" s="672"/>
      <c r="KXA30" s="672"/>
      <c r="KXB30" s="672"/>
      <c r="KXC30" s="672"/>
      <c r="KXD30" s="672"/>
      <c r="KXE30" s="672"/>
      <c r="KXF30" s="672"/>
      <c r="KXG30" s="672"/>
      <c r="KXH30" s="672"/>
      <c r="KXI30" s="672"/>
      <c r="KXJ30" s="672"/>
      <c r="KXK30" s="672"/>
      <c r="KXL30" s="672"/>
      <c r="KXM30" s="672"/>
      <c r="KXN30" s="672"/>
      <c r="KXO30" s="672"/>
      <c r="KXP30" s="672"/>
      <c r="KXQ30" s="672"/>
      <c r="KXR30" s="672"/>
      <c r="KXS30" s="672"/>
      <c r="KXT30" s="672"/>
      <c r="KXU30" s="672"/>
      <c r="KXV30" s="672"/>
      <c r="KXW30" s="672"/>
      <c r="KXX30" s="672"/>
      <c r="KXY30" s="672"/>
      <c r="KXZ30" s="672"/>
      <c r="KYA30" s="672"/>
      <c r="KYB30" s="672"/>
      <c r="KYC30" s="672"/>
      <c r="KYD30" s="672"/>
      <c r="KYE30" s="672"/>
      <c r="KYF30" s="672"/>
      <c r="KYG30" s="672"/>
      <c r="KYH30" s="672"/>
      <c r="KYI30" s="672"/>
      <c r="KYJ30" s="672"/>
      <c r="KYK30" s="672"/>
      <c r="KYL30" s="672"/>
      <c r="KYM30" s="672"/>
      <c r="KYN30" s="672"/>
      <c r="KYO30" s="672"/>
      <c r="KYP30" s="672"/>
      <c r="KYQ30" s="672"/>
      <c r="KYR30" s="672"/>
      <c r="KYS30" s="672"/>
      <c r="KYT30" s="672"/>
      <c r="KYU30" s="672"/>
      <c r="KYV30" s="672"/>
      <c r="KYW30" s="672"/>
      <c r="KYX30" s="672"/>
      <c r="KYY30" s="672"/>
      <c r="KYZ30" s="672"/>
      <c r="KZA30" s="672"/>
      <c r="KZB30" s="672"/>
      <c r="KZC30" s="672"/>
      <c r="KZD30" s="672"/>
      <c r="KZE30" s="672"/>
      <c r="KZF30" s="672"/>
      <c r="KZG30" s="672"/>
      <c r="KZH30" s="672"/>
      <c r="KZI30" s="672"/>
      <c r="KZJ30" s="672"/>
      <c r="KZK30" s="672"/>
      <c r="KZL30" s="672"/>
      <c r="KZM30" s="672"/>
      <c r="KZN30" s="672"/>
      <c r="KZO30" s="672"/>
      <c r="KZP30" s="672"/>
      <c r="KZQ30" s="672"/>
      <c r="KZR30" s="672"/>
      <c r="KZS30" s="672"/>
      <c r="KZT30" s="672"/>
      <c r="KZU30" s="672"/>
      <c r="KZV30" s="672"/>
      <c r="KZW30" s="672"/>
      <c r="KZX30" s="672"/>
      <c r="KZY30" s="672"/>
      <c r="KZZ30" s="672"/>
      <c r="LAA30" s="672"/>
      <c r="LAB30" s="672"/>
      <c r="LAC30" s="672"/>
      <c r="LAD30" s="672"/>
      <c r="LAE30" s="672"/>
      <c r="LAF30" s="672"/>
      <c r="LAG30" s="672"/>
      <c r="LAH30" s="672"/>
      <c r="LAI30" s="672"/>
      <c r="LAJ30" s="672"/>
      <c r="LAK30" s="672"/>
      <c r="LAL30" s="672"/>
      <c r="LAM30" s="672"/>
      <c r="LAN30" s="672"/>
      <c r="LAO30" s="672"/>
      <c r="LAP30" s="672"/>
      <c r="LAQ30" s="672"/>
      <c r="LAR30" s="672"/>
      <c r="LAS30" s="672"/>
      <c r="LAT30" s="672"/>
      <c r="LAU30" s="672"/>
      <c r="LAV30" s="672"/>
      <c r="LAW30" s="672"/>
      <c r="LAX30" s="672"/>
      <c r="LAY30" s="672"/>
      <c r="LAZ30" s="672"/>
      <c r="LBA30" s="672"/>
      <c r="LBB30" s="672"/>
      <c r="LBC30" s="672"/>
      <c r="LBD30" s="672"/>
      <c r="LBE30" s="672"/>
      <c r="LBF30" s="672"/>
      <c r="LBG30" s="672"/>
      <c r="LBH30" s="672"/>
      <c r="LBI30" s="672"/>
      <c r="LBJ30" s="672"/>
      <c r="LBK30" s="672"/>
      <c r="LBL30" s="672"/>
      <c r="LBM30" s="672"/>
      <c r="LBN30" s="672"/>
      <c r="LBO30" s="672"/>
      <c r="LBP30" s="672"/>
      <c r="LBQ30" s="672"/>
      <c r="LBR30" s="672"/>
      <c r="LBS30" s="672"/>
      <c r="LBT30" s="672"/>
      <c r="LBU30" s="672"/>
      <c r="LBV30" s="672"/>
      <c r="LBW30" s="672"/>
      <c r="LBX30" s="672"/>
      <c r="LBY30" s="672"/>
      <c r="LBZ30" s="672"/>
      <c r="LCA30" s="672"/>
      <c r="LCB30" s="672"/>
      <c r="LCC30" s="672"/>
      <c r="LCD30" s="672"/>
      <c r="LCE30" s="672"/>
      <c r="LCF30" s="672"/>
      <c r="LCG30" s="672"/>
      <c r="LCH30" s="672"/>
      <c r="LCI30" s="672"/>
      <c r="LCJ30" s="672"/>
      <c r="LCK30" s="672"/>
      <c r="LCL30" s="672"/>
      <c r="LCM30" s="672"/>
      <c r="LCN30" s="672"/>
      <c r="LCO30" s="672"/>
      <c r="LCP30" s="672"/>
      <c r="LCQ30" s="672"/>
      <c r="LCR30" s="672"/>
      <c r="LCS30" s="672"/>
      <c r="LCT30" s="672"/>
      <c r="LCU30" s="672"/>
      <c r="LCV30" s="672"/>
      <c r="LCW30" s="672"/>
      <c r="LCX30" s="672"/>
      <c r="LCY30" s="672"/>
      <c r="LCZ30" s="672"/>
      <c r="LDA30" s="672"/>
      <c r="LDB30" s="672"/>
      <c r="LDC30" s="672"/>
      <c r="LDD30" s="672"/>
      <c r="LDE30" s="672"/>
      <c r="LDF30" s="672"/>
      <c r="LDG30" s="672"/>
      <c r="LDH30" s="672"/>
      <c r="LDI30" s="672"/>
      <c r="LDJ30" s="672"/>
      <c r="LDK30" s="672"/>
      <c r="LDL30" s="672"/>
      <c r="LDM30" s="672"/>
      <c r="LDN30" s="672"/>
      <c r="LDO30" s="672"/>
      <c r="LDP30" s="672"/>
      <c r="LDQ30" s="672"/>
      <c r="LDR30" s="672"/>
      <c r="LDS30" s="672"/>
      <c r="LDT30" s="672"/>
      <c r="LDU30" s="672"/>
      <c r="LDV30" s="672"/>
      <c r="LDW30" s="672"/>
      <c r="LDX30" s="672"/>
      <c r="LDY30" s="672"/>
      <c r="LDZ30" s="672"/>
      <c r="LEA30" s="672"/>
      <c r="LEB30" s="672"/>
      <c r="LEC30" s="672"/>
      <c r="LED30" s="672"/>
      <c r="LEE30" s="672"/>
      <c r="LEF30" s="672"/>
      <c r="LEG30" s="672"/>
      <c r="LEH30" s="672"/>
      <c r="LEI30" s="672"/>
      <c r="LEJ30" s="672"/>
      <c r="LEK30" s="672"/>
      <c r="LEL30" s="672"/>
      <c r="LEM30" s="672"/>
      <c r="LEN30" s="672"/>
      <c r="LEO30" s="672"/>
      <c r="LEP30" s="672"/>
      <c r="LEQ30" s="672"/>
      <c r="LER30" s="672"/>
      <c r="LES30" s="672"/>
      <c r="LET30" s="672"/>
      <c r="LEU30" s="672"/>
      <c r="LEV30" s="672"/>
      <c r="LEW30" s="672"/>
      <c r="LEX30" s="672"/>
      <c r="LEY30" s="672"/>
      <c r="LEZ30" s="672"/>
      <c r="LFA30" s="672"/>
      <c r="LFB30" s="672"/>
      <c r="LFC30" s="672"/>
      <c r="LFD30" s="672"/>
      <c r="LFE30" s="672"/>
      <c r="LFF30" s="672"/>
      <c r="LFG30" s="672"/>
      <c r="LFH30" s="672"/>
      <c r="LFI30" s="672"/>
      <c r="LFJ30" s="672"/>
      <c r="LFK30" s="672"/>
      <c r="LFL30" s="672"/>
      <c r="LFM30" s="672"/>
      <c r="LFN30" s="672"/>
      <c r="LFO30" s="672"/>
      <c r="LFP30" s="672"/>
      <c r="LFQ30" s="672"/>
      <c r="LFR30" s="672"/>
      <c r="LFS30" s="672"/>
      <c r="LFT30" s="672"/>
      <c r="LFU30" s="672"/>
      <c r="LFV30" s="672"/>
      <c r="LFW30" s="672"/>
      <c r="LFX30" s="672"/>
      <c r="LFY30" s="672"/>
      <c r="LFZ30" s="672"/>
      <c r="LGA30" s="672"/>
      <c r="LGB30" s="672"/>
      <c r="LGC30" s="672"/>
      <c r="LGD30" s="672"/>
      <c r="LGE30" s="672"/>
      <c r="LGF30" s="672"/>
      <c r="LGG30" s="672"/>
      <c r="LGH30" s="672"/>
      <c r="LGI30" s="672"/>
      <c r="LGJ30" s="672"/>
      <c r="LGK30" s="672"/>
      <c r="LGL30" s="672"/>
      <c r="LGM30" s="672"/>
      <c r="LGN30" s="672"/>
      <c r="LGO30" s="672"/>
      <c r="LGP30" s="672"/>
      <c r="LGQ30" s="672"/>
      <c r="LGR30" s="672"/>
      <c r="LGS30" s="672"/>
      <c r="LGT30" s="672"/>
      <c r="LGU30" s="672"/>
      <c r="LGV30" s="672"/>
      <c r="LGW30" s="672"/>
      <c r="LGX30" s="672"/>
      <c r="LGY30" s="672"/>
      <c r="LGZ30" s="672"/>
      <c r="LHA30" s="672"/>
      <c r="LHB30" s="672"/>
      <c r="LHC30" s="672"/>
      <c r="LHD30" s="672"/>
      <c r="LHE30" s="672"/>
      <c r="LHF30" s="672"/>
      <c r="LHG30" s="672"/>
      <c r="LHH30" s="672"/>
      <c r="LHI30" s="672"/>
      <c r="LHJ30" s="672"/>
      <c r="LHK30" s="672"/>
      <c r="LHL30" s="672"/>
      <c r="LHM30" s="672"/>
      <c r="LHN30" s="672"/>
      <c r="LHO30" s="672"/>
      <c r="LHP30" s="672"/>
      <c r="LHQ30" s="672"/>
      <c r="LHR30" s="672"/>
      <c r="LHS30" s="672"/>
      <c r="LHT30" s="672"/>
      <c r="LHU30" s="672"/>
      <c r="LHV30" s="672"/>
      <c r="LHW30" s="672"/>
      <c r="LHX30" s="672"/>
      <c r="LHY30" s="672"/>
      <c r="LHZ30" s="672"/>
      <c r="LIA30" s="672"/>
      <c r="LIB30" s="672"/>
      <c r="LIC30" s="672"/>
      <c r="LID30" s="672"/>
      <c r="LIE30" s="672"/>
      <c r="LIF30" s="672"/>
      <c r="LIG30" s="672"/>
      <c r="LIH30" s="672"/>
      <c r="LII30" s="672"/>
      <c r="LIJ30" s="672"/>
      <c r="LIK30" s="672"/>
      <c r="LIL30" s="672"/>
      <c r="LIM30" s="672"/>
      <c r="LIN30" s="672"/>
      <c r="LIO30" s="672"/>
      <c r="LIP30" s="672"/>
      <c r="LIQ30" s="672"/>
      <c r="LIR30" s="672"/>
      <c r="LIS30" s="672"/>
      <c r="LIT30" s="672"/>
      <c r="LIU30" s="672"/>
      <c r="LIV30" s="672"/>
      <c r="LIW30" s="672"/>
      <c r="LIX30" s="672"/>
      <c r="LIY30" s="672"/>
      <c r="LIZ30" s="672"/>
      <c r="LJA30" s="672"/>
      <c r="LJB30" s="672"/>
      <c r="LJC30" s="672"/>
      <c r="LJD30" s="672"/>
      <c r="LJE30" s="672"/>
      <c r="LJF30" s="672"/>
      <c r="LJG30" s="672"/>
      <c r="LJH30" s="672"/>
      <c r="LJI30" s="672"/>
      <c r="LJJ30" s="672"/>
      <c r="LJK30" s="672"/>
      <c r="LJL30" s="672"/>
      <c r="LJM30" s="672"/>
      <c r="LJN30" s="672"/>
      <c r="LJO30" s="672"/>
      <c r="LJP30" s="672"/>
      <c r="LJQ30" s="672"/>
      <c r="LJR30" s="672"/>
      <c r="LJS30" s="672"/>
      <c r="LJT30" s="672"/>
      <c r="LJU30" s="672"/>
      <c r="LJV30" s="672"/>
      <c r="LJW30" s="672"/>
      <c r="LJX30" s="672"/>
      <c r="LJY30" s="672"/>
      <c r="LJZ30" s="672"/>
      <c r="LKA30" s="672"/>
      <c r="LKB30" s="672"/>
      <c r="LKC30" s="672"/>
      <c r="LKD30" s="672"/>
      <c r="LKE30" s="672"/>
      <c r="LKF30" s="672"/>
      <c r="LKG30" s="672"/>
      <c r="LKH30" s="672"/>
      <c r="LKI30" s="672"/>
      <c r="LKJ30" s="672"/>
      <c r="LKK30" s="672"/>
      <c r="LKL30" s="672"/>
      <c r="LKM30" s="672"/>
      <c r="LKN30" s="672"/>
      <c r="LKO30" s="672"/>
      <c r="LKP30" s="672"/>
      <c r="LKQ30" s="672"/>
      <c r="LKR30" s="672"/>
      <c r="LKS30" s="672"/>
      <c r="LKT30" s="672"/>
      <c r="LKU30" s="672"/>
      <c r="LKV30" s="672"/>
      <c r="LKW30" s="672"/>
      <c r="LKX30" s="672"/>
      <c r="LKY30" s="672"/>
      <c r="LKZ30" s="672"/>
      <c r="LLA30" s="672"/>
      <c r="LLB30" s="672"/>
      <c r="LLC30" s="672"/>
      <c r="LLD30" s="672"/>
      <c r="LLE30" s="672"/>
      <c r="LLF30" s="672"/>
      <c r="LLG30" s="672"/>
      <c r="LLH30" s="672"/>
      <c r="LLI30" s="672"/>
      <c r="LLJ30" s="672"/>
      <c r="LLK30" s="672"/>
      <c r="LLL30" s="672"/>
      <c r="LLM30" s="672"/>
      <c r="LLN30" s="672"/>
      <c r="LLO30" s="672"/>
      <c r="LLP30" s="672"/>
      <c r="LLQ30" s="672"/>
      <c r="LLR30" s="672"/>
      <c r="LLS30" s="672"/>
      <c r="LLT30" s="672"/>
      <c r="LLU30" s="672"/>
      <c r="LLV30" s="672"/>
      <c r="LLW30" s="672"/>
      <c r="LLX30" s="672"/>
      <c r="LLY30" s="672"/>
      <c r="LLZ30" s="672"/>
      <c r="LMA30" s="672"/>
      <c r="LMB30" s="672"/>
      <c r="LMC30" s="672"/>
      <c r="LMD30" s="672"/>
      <c r="LME30" s="672"/>
      <c r="LMF30" s="672"/>
      <c r="LMG30" s="672"/>
      <c r="LMH30" s="672"/>
      <c r="LMI30" s="672"/>
      <c r="LMJ30" s="672"/>
      <c r="LMK30" s="672"/>
      <c r="LML30" s="672"/>
      <c r="LMM30" s="672"/>
      <c r="LMN30" s="672"/>
      <c r="LMO30" s="672"/>
      <c r="LMP30" s="672"/>
      <c r="LMQ30" s="672"/>
      <c r="LMR30" s="672"/>
      <c r="LMS30" s="672"/>
      <c r="LMT30" s="672"/>
      <c r="LMU30" s="672"/>
      <c r="LMV30" s="672"/>
      <c r="LMW30" s="672"/>
      <c r="LMX30" s="672"/>
      <c r="LMY30" s="672"/>
      <c r="LMZ30" s="672"/>
      <c r="LNA30" s="672"/>
      <c r="LNB30" s="672"/>
      <c r="LNC30" s="672"/>
      <c r="LND30" s="672"/>
      <c r="LNE30" s="672"/>
      <c r="LNF30" s="672"/>
      <c r="LNG30" s="672"/>
      <c r="LNH30" s="672"/>
      <c r="LNI30" s="672"/>
      <c r="LNJ30" s="672"/>
      <c r="LNK30" s="672"/>
      <c r="LNL30" s="672"/>
      <c r="LNM30" s="672"/>
      <c r="LNN30" s="672"/>
      <c r="LNO30" s="672"/>
      <c r="LNP30" s="672"/>
      <c r="LNQ30" s="672"/>
      <c r="LNR30" s="672"/>
      <c r="LNS30" s="672"/>
      <c r="LNT30" s="672"/>
      <c r="LNU30" s="672"/>
      <c r="LNV30" s="672"/>
      <c r="LNW30" s="672"/>
      <c r="LNX30" s="672"/>
      <c r="LNY30" s="672"/>
      <c r="LNZ30" s="672"/>
      <c r="LOA30" s="672"/>
      <c r="LOB30" s="672"/>
      <c r="LOC30" s="672"/>
      <c r="LOD30" s="672"/>
      <c r="LOE30" s="672"/>
      <c r="LOF30" s="672"/>
      <c r="LOG30" s="672"/>
      <c r="LOH30" s="672"/>
      <c r="LOI30" s="672"/>
      <c r="LOJ30" s="672"/>
      <c r="LOK30" s="672"/>
      <c r="LOL30" s="672"/>
      <c r="LOM30" s="672"/>
      <c r="LON30" s="672"/>
      <c r="LOO30" s="672"/>
      <c r="LOP30" s="672"/>
      <c r="LOQ30" s="672"/>
      <c r="LOR30" s="672"/>
      <c r="LOS30" s="672"/>
      <c r="LOT30" s="672"/>
      <c r="LOU30" s="672"/>
      <c r="LOV30" s="672"/>
      <c r="LOW30" s="672"/>
      <c r="LOX30" s="672"/>
      <c r="LOY30" s="672"/>
      <c r="LOZ30" s="672"/>
      <c r="LPA30" s="672"/>
      <c r="LPB30" s="672"/>
      <c r="LPC30" s="672"/>
      <c r="LPD30" s="672"/>
      <c r="LPE30" s="672"/>
      <c r="LPF30" s="672"/>
      <c r="LPG30" s="672"/>
      <c r="LPH30" s="672"/>
      <c r="LPI30" s="672"/>
      <c r="LPJ30" s="672"/>
      <c r="LPK30" s="672"/>
      <c r="LPL30" s="672"/>
      <c r="LPM30" s="672"/>
      <c r="LPN30" s="672"/>
      <c r="LPO30" s="672"/>
      <c r="LPP30" s="672"/>
      <c r="LPQ30" s="672"/>
      <c r="LPR30" s="672"/>
      <c r="LPS30" s="672"/>
      <c r="LPT30" s="672"/>
      <c r="LPU30" s="672"/>
      <c r="LPV30" s="672"/>
      <c r="LPW30" s="672"/>
      <c r="LPX30" s="672"/>
      <c r="LPY30" s="672"/>
      <c r="LPZ30" s="672"/>
      <c r="LQA30" s="672"/>
      <c r="LQB30" s="672"/>
      <c r="LQC30" s="672"/>
      <c r="LQD30" s="672"/>
      <c r="LQE30" s="672"/>
      <c r="LQF30" s="672"/>
      <c r="LQG30" s="672"/>
      <c r="LQH30" s="672"/>
      <c r="LQI30" s="672"/>
      <c r="LQJ30" s="672"/>
      <c r="LQK30" s="672"/>
      <c r="LQL30" s="672"/>
      <c r="LQM30" s="672"/>
      <c r="LQN30" s="672"/>
      <c r="LQO30" s="672"/>
      <c r="LQP30" s="672"/>
      <c r="LQQ30" s="672"/>
      <c r="LQR30" s="672"/>
      <c r="LQS30" s="672"/>
      <c r="LQT30" s="672"/>
      <c r="LQU30" s="672"/>
      <c r="LQV30" s="672"/>
      <c r="LQW30" s="672"/>
      <c r="LQX30" s="672"/>
      <c r="LQY30" s="672"/>
      <c r="LQZ30" s="672"/>
      <c r="LRA30" s="672"/>
      <c r="LRB30" s="672"/>
      <c r="LRC30" s="672"/>
      <c r="LRD30" s="672"/>
      <c r="LRE30" s="672"/>
      <c r="LRF30" s="672"/>
      <c r="LRG30" s="672"/>
      <c r="LRH30" s="672"/>
      <c r="LRI30" s="672"/>
      <c r="LRJ30" s="672"/>
      <c r="LRK30" s="672"/>
      <c r="LRL30" s="672"/>
      <c r="LRM30" s="672"/>
      <c r="LRN30" s="672"/>
      <c r="LRO30" s="672"/>
      <c r="LRP30" s="672"/>
      <c r="LRQ30" s="672"/>
      <c r="LRR30" s="672"/>
      <c r="LRS30" s="672"/>
      <c r="LRT30" s="672"/>
      <c r="LRU30" s="672"/>
      <c r="LRV30" s="672"/>
      <c r="LRW30" s="672"/>
      <c r="LRX30" s="672"/>
      <c r="LRY30" s="672"/>
      <c r="LRZ30" s="672"/>
      <c r="LSA30" s="672"/>
      <c r="LSB30" s="672"/>
      <c r="LSC30" s="672"/>
      <c r="LSD30" s="672"/>
      <c r="LSE30" s="672"/>
      <c r="LSF30" s="672"/>
      <c r="LSG30" s="672"/>
      <c r="LSH30" s="672"/>
      <c r="LSI30" s="672"/>
      <c r="LSJ30" s="672"/>
      <c r="LSK30" s="672"/>
      <c r="LSL30" s="672"/>
      <c r="LSM30" s="672"/>
      <c r="LSN30" s="672"/>
      <c r="LSO30" s="672"/>
      <c r="LSP30" s="672"/>
      <c r="LSQ30" s="672"/>
      <c r="LSR30" s="672"/>
      <c r="LSS30" s="672"/>
      <c r="LST30" s="672"/>
      <c r="LSU30" s="672"/>
      <c r="LSV30" s="672"/>
      <c r="LSW30" s="672"/>
      <c r="LSX30" s="672"/>
      <c r="LSY30" s="672"/>
      <c r="LSZ30" s="672"/>
      <c r="LTA30" s="672"/>
      <c r="LTB30" s="672"/>
      <c r="LTC30" s="672"/>
      <c r="LTD30" s="672"/>
      <c r="LTE30" s="672"/>
      <c r="LTF30" s="672"/>
      <c r="LTG30" s="672"/>
      <c r="LTH30" s="672"/>
      <c r="LTI30" s="672"/>
      <c r="LTJ30" s="672"/>
      <c r="LTK30" s="672"/>
      <c r="LTL30" s="672"/>
      <c r="LTM30" s="672"/>
      <c r="LTN30" s="672"/>
      <c r="LTO30" s="672"/>
      <c r="LTP30" s="672"/>
      <c r="LTQ30" s="672"/>
      <c r="LTR30" s="672"/>
      <c r="LTS30" s="672"/>
      <c r="LTT30" s="672"/>
      <c r="LTU30" s="672"/>
      <c r="LTV30" s="672"/>
      <c r="LTW30" s="672"/>
      <c r="LTX30" s="672"/>
      <c r="LTY30" s="672"/>
      <c r="LTZ30" s="672"/>
      <c r="LUA30" s="672"/>
      <c r="LUB30" s="672"/>
      <c r="LUC30" s="672"/>
      <c r="LUD30" s="672"/>
      <c r="LUE30" s="672"/>
      <c r="LUF30" s="672"/>
      <c r="LUG30" s="672"/>
      <c r="LUH30" s="672"/>
      <c r="LUI30" s="672"/>
      <c r="LUJ30" s="672"/>
      <c r="LUK30" s="672"/>
      <c r="LUL30" s="672"/>
      <c r="LUM30" s="672"/>
      <c r="LUN30" s="672"/>
      <c r="LUO30" s="672"/>
      <c r="LUP30" s="672"/>
      <c r="LUQ30" s="672"/>
      <c r="LUR30" s="672"/>
      <c r="LUS30" s="672"/>
      <c r="LUT30" s="672"/>
      <c r="LUU30" s="672"/>
      <c r="LUV30" s="672"/>
      <c r="LUW30" s="672"/>
      <c r="LUX30" s="672"/>
      <c r="LUY30" s="672"/>
      <c r="LUZ30" s="672"/>
      <c r="LVA30" s="672"/>
      <c r="LVB30" s="672"/>
      <c r="LVC30" s="672"/>
      <c r="LVD30" s="672"/>
      <c r="LVE30" s="672"/>
      <c r="LVF30" s="672"/>
      <c r="LVG30" s="672"/>
      <c r="LVH30" s="672"/>
      <c r="LVI30" s="672"/>
      <c r="LVJ30" s="672"/>
      <c r="LVK30" s="672"/>
      <c r="LVL30" s="672"/>
      <c r="LVM30" s="672"/>
      <c r="LVN30" s="672"/>
      <c r="LVO30" s="672"/>
      <c r="LVP30" s="672"/>
      <c r="LVQ30" s="672"/>
      <c r="LVR30" s="672"/>
      <c r="LVS30" s="672"/>
      <c r="LVT30" s="672"/>
      <c r="LVU30" s="672"/>
      <c r="LVV30" s="672"/>
      <c r="LVW30" s="672"/>
      <c r="LVX30" s="672"/>
      <c r="LVY30" s="672"/>
      <c r="LVZ30" s="672"/>
      <c r="LWA30" s="672"/>
      <c r="LWB30" s="672"/>
      <c r="LWC30" s="672"/>
      <c r="LWD30" s="672"/>
      <c r="LWE30" s="672"/>
      <c r="LWF30" s="672"/>
      <c r="LWG30" s="672"/>
      <c r="LWH30" s="672"/>
      <c r="LWI30" s="672"/>
      <c r="LWJ30" s="672"/>
      <c r="LWK30" s="672"/>
      <c r="LWL30" s="672"/>
      <c r="LWM30" s="672"/>
      <c r="LWN30" s="672"/>
      <c r="LWO30" s="672"/>
      <c r="LWP30" s="672"/>
      <c r="LWQ30" s="672"/>
      <c r="LWR30" s="672"/>
      <c r="LWS30" s="672"/>
      <c r="LWT30" s="672"/>
      <c r="LWU30" s="672"/>
      <c r="LWV30" s="672"/>
      <c r="LWW30" s="672"/>
      <c r="LWX30" s="672"/>
      <c r="LWY30" s="672"/>
      <c r="LWZ30" s="672"/>
      <c r="LXA30" s="672"/>
      <c r="LXB30" s="672"/>
      <c r="LXC30" s="672"/>
      <c r="LXD30" s="672"/>
      <c r="LXE30" s="672"/>
      <c r="LXF30" s="672"/>
      <c r="LXG30" s="672"/>
      <c r="LXH30" s="672"/>
      <c r="LXI30" s="672"/>
      <c r="LXJ30" s="672"/>
      <c r="LXK30" s="672"/>
      <c r="LXL30" s="672"/>
      <c r="LXM30" s="672"/>
      <c r="LXN30" s="672"/>
      <c r="LXO30" s="672"/>
      <c r="LXP30" s="672"/>
      <c r="LXQ30" s="672"/>
      <c r="LXR30" s="672"/>
      <c r="LXS30" s="672"/>
      <c r="LXT30" s="672"/>
      <c r="LXU30" s="672"/>
      <c r="LXV30" s="672"/>
      <c r="LXW30" s="672"/>
      <c r="LXX30" s="672"/>
      <c r="LXY30" s="672"/>
      <c r="LXZ30" s="672"/>
      <c r="LYA30" s="672"/>
      <c r="LYB30" s="672"/>
      <c r="LYC30" s="672"/>
      <c r="LYD30" s="672"/>
      <c r="LYE30" s="672"/>
      <c r="LYF30" s="672"/>
      <c r="LYG30" s="672"/>
      <c r="LYH30" s="672"/>
      <c r="LYI30" s="672"/>
      <c r="LYJ30" s="672"/>
      <c r="LYK30" s="672"/>
      <c r="LYL30" s="672"/>
      <c r="LYM30" s="672"/>
      <c r="LYN30" s="672"/>
      <c r="LYO30" s="672"/>
      <c r="LYP30" s="672"/>
      <c r="LYQ30" s="672"/>
      <c r="LYR30" s="672"/>
      <c r="LYS30" s="672"/>
      <c r="LYT30" s="672"/>
      <c r="LYU30" s="672"/>
      <c r="LYV30" s="672"/>
      <c r="LYW30" s="672"/>
      <c r="LYX30" s="672"/>
      <c r="LYY30" s="672"/>
      <c r="LYZ30" s="672"/>
      <c r="LZA30" s="672"/>
      <c r="LZB30" s="672"/>
      <c r="LZC30" s="672"/>
      <c r="LZD30" s="672"/>
      <c r="LZE30" s="672"/>
      <c r="LZF30" s="672"/>
      <c r="LZG30" s="672"/>
      <c r="LZH30" s="672"/>
      <c r="LZI30" s="672"/>
      <c r="LZJ30" s="672"/>
      <c r="LZK30" s="672"/>
      <c r="LZL30" s="672"/>
      <c r="LZM30" s="672"/>
      <c r="LZN30" s="672"/>
      <c r="LZO30" s="672"/>
      <c r="LZP30" s="672"/>
      <c r="LZQ30" s="672"/>
      <c r="LZR30" s="672"/>
      <c r="LZS30" s="672"/>
      <c r="LZT30" s="672"/>
      <c r="LZU30" s="672"/>
      <c r="LZV30" s="672"/>
      <c r="LZW30" s="672"/>
      <c r="LZX30" s="672"/>
      <c r="LZY30" s="672"/>
      <c r="LZZ30" s="672"/>
      <c r="MAA30" s="672"/>
      <c r="MAB30" s="672"/>
      <c r="MAC30" s="672"/>
      <c r="MAD30" s="672"/>
      <c r="MAE30" s="672"/>
      <c r="MAF30" s="672"/>
      <c r="MAG30" s="672"/>
      <c r="MAH30" s="672"/>
      <c r="MAI30" s="672"/>
      <c r="MAJ30" s="672"/>
      <c r="MAK30" s="672"/>
      <c r="MAL30" s="672"/>
      <c r="MAM30" s="672"/>
      <c r="MAN30" s="672"/>
      <c r="MAO30" s="672"/>
      <c r="MAP30" s="672"/>
      <c r="MAQ30" s="672"/>
      <c r="MAR30" s="672"/>
      <c r="MAS30" s="672"/>
      <c r="MAT30" s="672"/>
      <c r="MAU30" s="672"/>
      <c r="MAV30" s="672"/>
      <c r="MAW30" s="672"/>
      <c r="MAX30" s="672"/>
      <c r="MAY30" s="672"/>
      <c r="MAZ30" s="672"/>
      <c r="MBA30" s="672"/>
      <c r="MBB30" s="672"/>
      <c r="MBC30" s="672"/>
      <c r="MBD30" s="672"/>
      <c r="MBE30" s="672"/>
      <c r="MBF30" s="672"/>
      <c r="MBG30" s="672"/>
      <c r="MBH30" s="672"/>
      <c r="MBI30" s="672"/>
      <c r="MBJ30" s="672"/>
      <c r="MBK30" s="672"/>
      <c r="MBL30" s="672"/>
      <c r="MBM30" s="672"/>
      <c r="MBN30" s="672"/>
      <c r="MBO30" s="672"/>
      <c r="MBP30" s="672"/>
      <c r="MBQ30" s="672"/>
      <c r="MBR30" s="672"/>
      <c r="MBS30" s="672"/>
      <c r="MBT30" s="672"/>
      <c r="MBU30" s="672"/>
      <c r="MBV30" s="672"/>
      <c r="MBW30" s="672"/>
      <c r="MBX30" s="672"/>
      <c r="MBY30" s="672"/>
      <c r="MBZ30" s="672"/>
      <c r="MCA30" s="672"/>
      <c r="MCB30" s="672"/>
      <c r="MCC30" s="672"/>
      <c r="MCD30" s="672"/>
      <c r="MCE30" s="672"/>
      <c r="MCF30" s="672"/>
      <c r="MCG30" s="672"/>
      <c r="MCH30" s="672"/>
      <c r="MCI30" s="672"/>
      <c r="MCJ30" s="672"/>
      <c r="MCK30" s="672"/>
      <c r="MCL30" s="672"/>
      <c r="MCM30" s="672"/>
      <c r="MCN30" s="672"/>
      <c r="MCO30" s="672"/>
      <c r="MCP30" s="672"/>
      <c r="MCQ30" s="672"/>
      <c r="MCR30" s="672"/>
      <c r="MCS30" s="672"/>
      <c r="MCT30" s="672"/>
      <c r="MCU30" s="672"/>
      <c r="MCV30" s="672"/>
      <c r="MCW30" s="672"/>
      <c r="MCX30" s="672"/>
      <c r="MCY30" s="672"/>
      <c r="MCZ30" s="672"/>
      <c r="MDA30" s="672"/>
      <c r="MDB30" s="672"/>
      <c r="MDC30" s="672"/>
      <c r="MDD30" s="672"/>
      <c r="MDE30" s="672"/>
      <c r="MDF30" s="672"/>
      <c r="MDG30" s="672"/>
      <c r="MDH30" s="672"/>
      <c r="MDI30" s="672"/>
      <c r="MDJ30" s="672"/>
      <c r="MDK30" s="672"/>
      <c r="MDL30" s="672"/>
      <c r="MDM30" s="672"/>
      <c r="MDN30" s="672"/>
      <c r="MDO30" s="672"/>
      <c r="MDP30" s="672"/>
      <c r="MDQ30" s="672"/>
      <c r="MDR30" s="672"/>
      <c r="MDS30" s="672"/>
      <c r="MDT30" s="672"/>
      <c r="MDU30" s="672"/>
      <c r="MDV30" s="672"/>
      <c r="MDW30" s="672"/>
      <c r="MDX30" s="672"/>
      <c r="MDY30" s="672"/>
      <c r="MDZ30" s="672"/>
      <c r="MEA30" s="672"/>
      <c r="MEB30" s="672"/>
      <c r="MEC30" s="672"/>
      <c r="MED30" s="672"/>
      <c r="MEE30" s="672"/>
      <c r="MEF30" s="672"/>
      <c r="MEG30" s="672"/>
      <c r="MEH30" s="672"/>
      <c r="MEI30" s="672"/>
      <c r="MEJ30" s="672"/>
      <c r="MEK30" s="672"/>
      <c r="MEL30" s="672"/>
      <c r="MEM30" s="672"/>
      <c r="MEN30" s="672"/>
      <c r="MEO30" s="672"/>
      <c r="MEP30" s="672"/>
      <c r="MEQ30" s="672"/>
      <c r="MER30" s="672"/>
      <c r="MES30" s="672"/>
      <c r="MET30" s="672"/>
      <c r="MEU30" s="672"/>
      <c r="MEV30" s="672"/>
      <c r="MEW30" s="672"/>
      <c r="MEX30" s="672"/>
      <c r="MEY30" s="672"/>
      <c r="MEZ30" s="672"/>
      <c r="MFA30" s="672"/>
      <c r="MFB30" s="672"/>
      <c r="MFC30" s="672"/>
      <c r="MFD30" s="672"/>
      <c r="MFE30" s="672"/>
      <c r="MFF30" s="672"/>
      <c r="MFG30" s="672"/>
      <c r="MFH30" s="672"/>
      <c r="MFI30" s="672"/>
      <c r="MFJ30" s="672"/>
      <c r="MFK30" s="672"/>
      <c r="MFL30" s="672"/>
      <c r="MFM30" s="672"/>
      <c r="MFN30" s="672"/>
      <c r="MFO30" s="672"/>
      <c r="MFP30" s="672"/>
      <c r="MFQ30" s="672"/>
      <c r="MFR30" s="672"/>
      <c r="MFS30" s="672"/>
      <c r="MFT30" s="672"/>
      <c r="MFU30" s="672"/>
      <c r="MFV30" s="672"/>
      <c r="MFW30" s="672"/>
      <c r="MFX30" s="672"/>
      <c r="MFY30" s="672"/>
      <c r="MFZ30" s="672"/>
      <c r="MGA30" s="672"/>
      <c r="MGB30" s="672"/>
      <c r="MGC30" s="672"/>
      <c r="MGD30" s="672"/>
      <c r="MGE30" s="672"/>
      <c r="MGF30" s="672"/>
      <c r="MGG30" s="672"/>
      <c r="MGH30" s="672"/>
      <c r="MGI30" s="672"/>
      <c r="MGJ30" s="672"/>
      <c r="MGK30" s="672"/>
      <c r="MGL30" s="672"/>
      <c r="MGM30" s="672"/>
      <c r="MGN30" s="672"/>
      <c r="MGO30" s="672"/>
      <c r="MGP30" s="672"/>
      <c r="MGQ30" s="672"/>
      <c r="MGR30" s="672"/>
      <c r="MGS30" s="672"/>
      <c r="MGT30" s="672"/>
      <c r="MGU30" s="672"/>
      <c r="MGV30" s="672"/>
      <c r="MGW30" s="672"/>
      <c r="MGX30" s="672"/>
      <c r="MGY30" s="672"/>
      <c r="MGZ30" s="672"/>
      <c r="MHA30" s="672"/>
      <c r="MHB30" s="672"/>
      <c r="MHC30" s="672"/>
      <c r="MHD30" s="672"/>
      <c r="MHE30" s="672"/>
      <c r="MHF30" s="672"/>
      <c r="MHG30" s="672"/>
      <c r="MHH30" s="672"/>
      <c r="MHI30" s="672"/>
      <c r="MHJ30" s="672"/>
      <c r="MHK30" s="672"/>
      <c r="MHL30" s="672"/>
      <c r="MHM30" s="672"/>
      <c r="MHN30" s="672"/>
      <c r="MHO30" s="672"/>
      <c r="MHP30" s="672"/>
      <c r="MHQ30" s="672"/>
      <c r="MHR30" s="672"/>
      <c r="MHS30" s="672"/>
      <c r="MHT30" s="672"/>
      <c r="MHU30" s="672"/>
      <c r="MHV30" s="672"/>
      <c r="MHW30" s="672"/>
      <c r="MHX30" s="672"/>
      <c r="MHY30" s="672"/>
      <c r="MHZ30" s="672"/>
      <c r="MIA30" s="672"/>
      <c r="MIB30" s="672"/>
      <c r="MIC30" s="672"/>
      <c r="MID30" s="672"/>
      <c r="MIE30" s="672"/>
      <c r="MIF30" s="672"/>
      <c r="MIG30" s="672"/>
      <c r="MIH30" s="672"/>
      <c r="MII30" s="672"/>
      <c r="MIJ30" s="672"/>
      <c r="MIK30" s="672"/>
      <c r="MIL30" s="672"/>
      <c r="MIM30" s="672"/>
      <c r="MIN30" s="672"/>
      <c r="MIO30" s="672"/>
      <c r="MIP30" s="672"/>
      <c r="MIQ30" s="672"/>
      <c r="MIR30" s="672"/>
      <c r="MIS30" s="672"/>
      <c r="MIT30" s="672"/>
      <c r="MIU30" s="672"/>
      <c r="MIV30" s="672"/>
      <c r="MIW30" s="672"/>
      <c r="MIX30" s="672"/>
      <c r="MIY30" s="672"/>
      <c r="MIZ30" s="672"/>
      <c r="MJA30" s="672"/>
      <c r="MJB30" s="672"/>
      <c r="MJC30" s="672"/>
      <c r="MJD30" s="672"/>
      <c r="MJE30" s="672"/>
      <c r="MJF30" s="672"/>
      <c r="MJG30" s="672"/>
      <c r="MJH30" s="672"/>
      <c r="MJI30" s="672"/>
      <c r="MJJ30" s="672"/>
      <c r="MJK30" s="672"/>
      <c r="MJL30" s="672"/>
      <c r="MJM30" s="672"/>
      <c r="MJN30" s="672"/>
      <c r="MJO30" s="672"/>
      <c r="MJP30" s="672"/>
      <c r="MJQ30" s="672"/>
      <c r="MJR30" s="672"/>
      <c r="MJS30" s="672"/>
      <c r="MJT30" s="672"/>
      <c r="MJU30" s="672"/>
      <c r="MJV30" s="672"/>
      <c r="MJW30" s="672"/>
      <c r="MJX30" s="672"/>
      <c r="MJY30" s="672"/>
      <c r="MJZ30" s="672"/>
      <c r="MKA30" s="672"/>
      <c r="MKB30" s="672"/>
      <c r="MKC30" s="672"/>
      <c r="MKD30" s="672"/>
      <c r="MKE30" s="672"/>
      <c r="MKF30" s="672"/>
      <c r="MKG30" s="672"/>
      <c r="MKH30" s="672"/>
      <c r="MKI30" s="672"/>
      <c r="MKJ30" s="672"/>
      <c r="MKK30" s="672"/>
      <c r="MKL30" s="672"/>
      <c r="MKM30" s="672"/>
      <c r="MKN30" s="672"/>
      <c r="MKO30" s="672"/>
      <c r="MKP30" s="672"/>
      <c r="MKQ30" s="672"/>
      <c r="MKR30" s="672"/>
      <c r="MKS30" s="672"/>
      <c r="MKT30" s="672"/>
      <c r="MKU30" s="672"/>
      <c r="MKV30" s="672"/>
      <c r="MKW30" s="672"/>
      <c r="MKX30" s="672"/>
      <c r="MKY30" s="672"/>
      <c r="MKZ30" s="672"/>
      <c r="MLA30" s="672"/>
      <c r="MLB30" s="672"/>
      <c r="MLC30" s="672"/>
      <c r="MLD30" s="672"/>
      <c r="MLE30" s="672"/>
      <c r="MLF30" s="672"/>
      <c r="MLG30" s="672"/>
      <c r="MLH30" s="672"/>
      <c r="MLI30" s="672"/>
      <c r="MLJ30" s="672"/>
      <c r="MLK30" s="672"/>
      <c r="MLL30" s="672"/>
      <c r="MLM30" s="672"/>
      <c r="MLN30" s="672"/>
      <c r="MLO30" s="672"/>
      <c r="MLP30" s="672"/>
      <c r="MLQ30" s="672"/>
      <c r="MLR30" s="672"/>
      <c r="MLS30" s="672"/>
      <c r="MLT30" s="672"/>
      <c r="MLU30" s="672"/>
      <c r="MLV30" s="672"/>
      <c r="MLW30" s="672"/>
      <c r="MLX30" s="672"/>
      <c r="MLY30" s="672"/>
      <c r="MLZ30" s="672"/>
      <c r="MMA30" s="672"/>
      <c r="MMB30" s="672"/>
      <c r="MMC30" s="672"/>
      <c r="MMD30" s="672"/>
      <c r="MME30" s="672"/>
      <c r="MMF30" s="672"/>
      <c r="MMG30" s="672"/>
      <c r="MMH30" s="672"/>
      <c r="MMI30" s="672"/>
      <c r="MMJ30" s="672"/>
      <c r="MMK30" s="672"/>
      <c r="MML30" s="672"/>
      <c r="MMM30" s="672"/>
      <c r="MMN30" s="672"/>
      <c r="MMO30" s="672"/>
      <c r="MMP30" s="672"/>
      <c r="MMQ30" s="672"/>
      <c r="MMR30" s="672"/>
      <c r="MMS30" s="672"/>
      <c r="MMT30" s="672"/>
      <c r="MMU30" s="672"/>
      <c r="MMV30" s="672"/>
      <c r="MMW30" s="672"/>
      <c r="MMX30" s="672"/>
      <c r="MMY30" s="672"/>
      <c r="MMZ30" s="672"/>
      <c r="MNA30" s="672"/>
      <c r="MNB30" s="672"/>
      <c r="MNC30" s="672"/>
      <c r="MND30" s="672"/>
      <c r="MNE30" s="672"/>
      <c r="MNF30" s="672"/>
      <c r="MNG30" s="672"/>
      <c r="MNH30" s="672"/>
      <c r="MNI30" s="672"/>
      <c r="MNJ30" s="672"/>
      <c r="MNK30" s="672"/>
      <c r="MNL30" s="672"/>
      <c r="MNM30" s="672"/>
      <c r="MNN30" s="672"/>
      <c r="MNO30" s="672"/>
      <c r="MNP30" s="672"/>
      <c r="MNQ30" s="672"/>
      <c r="MNR30" s="672"/>
      <c r="MNS30" s="672"/>
      <c r="MNT30" s="672"/>
      <c r="MNU30" s="672"/>
      <c r="MNV30" s="672"/>
      <c r="MNW30" s="672"/>
      <c r="MNX30" s="672"/>
      <c r="MNY30" s="672"/>
      <c r="MNZ30" s="672"/>
      <c r="MOA30" s="672"/>
      <c r="MOB30" s="672"/>
      <c r="MOC30" s="672"/>
      <c r="MOD30" s="672"/>
      <c r="MOE30" s="672"/>
      <c r="MOF30" s="672"/>
      <c r="MOG30" s="672"/>
      <c r="MOH30" s="672"/>
      <c r="MOI30" s="672"/>
      <c r="MOJ30" s="672"/>
      <c r="MOK30" s="672"/>
      <c r="MOL30" s="672"/>
      <c r="MOM30" s="672"/>
      <c r="MON30" s="672"/>
      <c r="MOO30" s="672"/>
      <c r="MOP30" s="672"/>
      <c r="MOQ30" s="672"/>
      <c r="MOR30" s="672"/>
      <c r="MOS30" s="672"/>
      <c r="MOT30" s="672"/>
      <c r="MOU30" s="672"/>
      <c r="MOV30" s="672"/>
      <c r="MOW30" s="672"/>
      <c r="MOX30" s="672"/>
      <c r="MOY30" s="672"/>
      <c r="MOZ30" s="672"/>
      <c r="MPA30" s="672"/>
      <c r="MPB30" s="672"/>
      <c r="MPC30" s="672"/>
      <c r="MPD30" s="672"/>
      <c r="MPE30" s="672"/>
      <c r="MPF30" s="672"/>
      <c r="MPG30" s="672"/>
      <c r="MPH30" s="672"/>
      <c r="MPI30" s="672"/>
      <c r="MPJ30" s="672"/>
      <c r="MPK30" s="672"/>
      <c r="MPL30" s="672"/>
      <c r="MPM30" s="672"/>
      <c r="MPN30" s="672"/>
      <c r="MPO30" s="672"/>
      <c r="MPP30" s="672"/>
      <c r="MPQ30" s="672"/>
      <c r="MPR30" s="672"/>
      <c r="MPS30" s="672"/>
      <c r="MPT30" s="672"/>
      <c r="MPU30" s="672"/>
      <c r="MPV30" s="672"/>
      <c r="MPW30" s="672"/>
      <c r="MPX30" s="672"/>
      <c r="MPY30" s="672"/>
      <c r="MPZ30" s="672"/>
      <c r="MQA30" s="672"/>
      <c r="MQB30" s="672"/>
      <c r="MQC30" s="672"/>
      <c r="MQD30" s="672"/>
      <c r="MQE30" s="672"/>
      <c r="MQF30" s="672"/>
      <c r="MQG30" s="672"/>
      <c r="MQH30" s="672"/>
      <c r="MQI30" s="672"/>
      <c r="MQJ30" s="672"/>
      <c r="MQK30" s="672"/>
      <c r="MQL30" s="672"/>
      <c r="MQM30" s="672"/>
      <c r="MQN30" s="672"/>
      <c r="MQO30" s="672"/>
      <c r="MQP30" s="672"/>
      <c r="MQQ30" s="672"/>
      <c r="MQR30" s="672"/>
      <c r="MQS30" s="672"/>
      <c r="MQT30" s="672"/>
      <c r="MQU30" s="672"/>
      <c r="MQV30" s="672"/>
      <c r="MQW30" s="672"/>
      <c r="MQX30" s="672"/>
      <c r="MQY30" s="672"/>
      <c r="MQZ30" s="672"/>
      <c r="MRA30" s="672"/>
      <c r="MRB30" s="672"/>
      <c r="MRC30" s="672"/>
      <c r="MRD30" s="672"/>
      <c r="MRE30" s="672"/>
      <c r="MRF30" s="672"/>
      <c r="MRG30" s="672"/>
      <c r="MRH30" s="672"/>
      <c r="MRI30" s="672"/>
      <c r="MRJ30" s="672"/>
      <c r="MRK30" s="672"/>
      <c r="MRL30" s="672"/>
      <c r="MRM30" s="672"/>
      <c r="MRN30" s="672"/>
      <c r="MRO30" s="672"/>
      <c r="MRP30" s="672"/>
      <c r="MRQ30" s="672"/>
      <c r="MRR30" s="672"/>
      <c r="MRS30" s="672"/>
      <c r="MRT30" s="672"/>
      <c r="MRU30" s="672"/>
      <c r="MRV30" s="672"/>
      <c r="MRW30" s="672"/>
      <c r="MRX30" s="672"/>
      <c r="MRY30" s="672"/>
      <c r="MRZ30" s="672"/>
      <c r="MSA30" s="672"/>
      <c r="MSB30" s="672"/>
      <c r="MSC30" s="672"/>
      <c r="MSD30" s="672"/>
      <c r="MSE30" s="672"/>
      <c r="MSF30" s="672"/>
      <c r="MSG30" s="672"/>
      <c r="MSH30" s="672"/>
      <c r="MSI30" s="672"/>
      <c r="MSJ30" s="672"/>
      <c r="MSK30" s="672"/>
      <c r="MSL30" s="672"/>
      <c r="MSM30" s="672"/>
      <c r="MSN30" s="672"/>
      <c r="MSO30" s="672"/>
      <c r="MSP30" s="672"/>
      <c r="MSQ30" s="672"/>
      <c r="MSR30" s="672"/>
      <c r="MSS30" s="672"/>
      <c r="MST30" s="672"/>
      <c r="MSU30" s="672"/>
      <c r="MSV30" s="672"/>
      <c r="MSW30" s="672"/>
      <c r="MSX30" s="672"/>
      <c r="MSY30" s="672"/>
      <c r="MSZ30" s="672"/>
      <c r="MTA30" s="672"/>
      <c r="MTB30" s="672"/>
      <c r="MTC30" s="672"/>
      <c r="MTD30" s="672"/>
      <c r="MTE30" s="672"/>
      <c r="MTF30" s="672"/>
      <c r="MTG30" s="672"/>
      <c r="MTH30" s="672"/>
      <c r="MTI30" s="672"/>
      <c r="MTJ30" s="672"/>
      <c r="MTK30" s="672"/>
      <c r="MTL30" s="672"/>
      <c r="MTM30" s="672"/>
      <c r="MTN30" s="672"/>
      <c r="MTO30" s="672"/>
      <c r="MTP30" s="672"/>
      <c r="MTQ30" s="672"/>
      <c r="MTR30" s="672"/>
      <c r="MTS30" s="672"/>
      <c r="MTT30" s="672"/>
      <c r="MTU30" s="672"/>
      <c r="MTV30" s="672"/>
      <c r="MTW30" s="672"/>
      <c r="MTX30" s="672"/>
      <c r="MTY30" s="672"/>
      <c r="MTZ30" s="672"/>
      <c r="MUA30" s="672"/>
      <c r="MUB30" s="672"/>
      <c r="MUC30" s="672"/>
      <c r="MUD30" s="672"/>
      <c r="MUE30" s="672"/>
      <c r="MUF30" s="672"/>
      <c r="MUG30" s="672"/>
      <c r="MUH30" s="672"/>
      <c r="MUI30" s="672"/>
      <c r="MUJ30" s="672"/>
      <c r="MUK30" s="672"/>
      <c r="MUL30" s="672"/>
      <c r="MUM30" s="672"/>
      <c r="MUN30" s="672"/>
      <c r="MUO30" s="672"/>
      <c r="MUP30" s="672"/>
      <c r="MUQ30" s="672"/>
      <c r="MUR30" s="672"/>
      <c r="MUS30" s="672"/>
      <c r="MUT30" s="672"/>
      <c r="MUU30" s="672"/>
      <c r="MUV30" s="672"/>
      <c r="MUW30" s="672"/>
      <c r="MUX30" s="672"/>
      <c r="MUY30" s="672"/>
      <c r="MUZ30" s="672"/>
      <c r="MVA30" s="672"/>
      <c r="MVB30" s="672"/>
      <c r="MVC30" s="672"/>
      <c r="MVD30" s="672"/>
      <c r="MVE30" s="672"/>
      <c r="MVF30" s="672"/>
      <c r="MVG30" s="672"/>
      <c r="MVH30" s="672"/>
      <c r="MVI30" s="672"/>
      <c r="MVJ30" s="672"/>
      <c r="MVK30" s="672"/>
      <c r="MVL30" s="672"/>
      <c r="MVM30" s="672"/>
      <c r="MVN30" s="672"/>
      <c r="MVO30" s="672"/>
      <c r="MVP30" s="672"/>
      <c r="MVQ30" s="672"/>
      <c r="MVR30" s="672"/>
      <c r="MVS30" s="672"/>
      <c r="MVT30" s="672"/>
      <c r="MVU30" s="672"/>
      <c r="MVV30" s="672"/>
      <c r="MVW30" s="672"/>
      <c r="MVX30" s="672"/>
      <c r="MVY30" s="672"/>
      <c r="MVZ30" s="672"/>
      <c r="MWA30" s="672"/>
      <c r="MWB30" s="672"/>
      <c r="MWC30" s="672"/>
      <c r="MWD30" s="672"/>
      <c r="MWE30" s="672"/>
      <c r="MWF30" s="672"/>
      <c r="MWG30" s="672"/>
      <c r="MWH30" s="672"/>
      <c r="MWI30" s="672"/>
      <c r="MWJ30" s="672"/>
      <c r="MWK30" s="672"/>
      <c r="MWL30" s="672"/>
      <c r="MWM30" s="672"/>
      <c r="MWN30" s="672"/>
      <c r="MWO30" s="672"/>
      <c r="MWP30" s="672"/>
      <c r="MWQ30" s="672"/>
      <c r="MWR30" s="672"/>
      <c r="MWS30" s="672"/>
      <c r="MWT30" s="672"/>
      <c r="MWU30" s="672"/>
      <c r="MWV30" s="672"/>
      <c r="MWW30" s="672"/>
      <c r="MWX30" s="672"/>
      <c r="MWY30" s="672"/>
      <c r="MWZ30" s="672"/>
      <c r="MXA30" s="672"/>
      <c r="MXB30" s="672"/>
      <c r="MXC30" s="672"/>
      <c r="MXD30" s="672"/>
      <c r="MXE30" s="672"/>
      <c r="MXF30" s="672"/>
      <c r="MXG30" s="672"/>
      <c r="MXH30" s="672"/>
      <c r="MXI30" s="672"/>
      <c r="MXJ30" s="672"/>
      <c r="MXK30" s="672"/>
      <c r="MXL30" s="672"/>
      <c r="MXM30" s="672"/>
      <c r="MXN30" s="672"/>
      <c r="MXO30" s="672"/>
      <c r="MXP30" s="672"/>
      <c r="MXQ30" s="672"/>
      <c r="MXR30" s="672"/>
      <c r="MXS30" s="672"/>
      <c r="MXT30" s="672"/>
      <c r="MXU30" s="672"/>
      <c r="MXV30" s="672"/>
      <c r="MXW30" s="672"/>
      <c r="MXX30" s="672"/>
      <c r="MXY30" s="672"/>
      <c r="MXZ30" s="672"/>
      <c r="MYA30" s="672"/>
      <c r="MYB30" s="672"/>
      <c r="MYC30" s="672"/>
      <c r="MYD30" s="672"/>
      <c r="MYE30" s="672"/>
      <c r="MYF30" s="672"/>
      <c r="MYG30" s="672"/>
      <c r="MYH30" s="672"/>
      <c r="MYI30" s="672"/>
      <c r="MYJ30" s="672"/>
      <c r="MYK30" s="672"/>
      <c r="MYL30" s="672"/>
      <c r="MYM30" s="672"/>
      <c r="MYN30" s="672"/>
      <c r="MYO30" s="672"/>
      <c r="MYP30" s="672"/>
      <c r="MYQ30" s="672"/>
      <c r="MYR30" s="672"/>
      <c r="MYS30" s="672"/>
      <c r="MYT30" s="672"/>
      <c r="MYU30" s="672"/>
      <c r="MYV30" s="672"/>
      <c r="MYW30" s="672"/>
      <c r="MYX30" s="672"/>
      <c r="MYY30" s="672"/>
      <c r="MYZ30" s="672"/>
      <c r="MZA30" s="672"/>
      <c r="MZB30" s="672"/>
      <c r="MZC30" s="672"/>
      <c r="MZD30" s="672"/>
      <c r="MZE30" s="672"/>
      <c r="MZF30" s="672"/>
      <c r="MZG30" s="672"/>
      <c r="MZH30" s="672"/>
      <c r="MZI30" s="672"/>
      <c r="MZJ30" s="672"/>
      <c r="MZK30" s="672"/>
      <c r="MZL30" s="672"/>
      <c r="MZM30" s="672"/>
      <c r="MZN30" s="672"/>
      <c r="MZO30" s="672"/>
      <c r="MZP30" s="672"/>
      <c r="MZQ30" s="672"/>
      <c r="MZR30" s="672"/>
      <c r="MZS30" s="672"/>
      <c r="MZT30" s="672"/>
      <c r="MZU30" s="672"/>
      <c r="MZV30" s="672"/>
      <c r="MZW30" s="672"/>
      <c r="MZX30" s="672"/>
      <c r="MZY30" s="672"/>
      <c r="MZZ30" s="672"/>
      <c r="NAA30" s="672"/>
      <c r="NAB30" s="672"/>
      <c r="NAC30" s="672"/>
      <c r="NAD30" s="672"/>
      <c r="NAE30" s="672"/>
      <c r="NAF30" s="672"/>
      <c r="NAG30" s="672"/>
      <c r="NAH30" s="672"/>
      <c r="NAI30" s="672"/>
      <c r="NAJ30" s="672"/>
      <c r="NAK30" s="672"/>
      <c r="NAL30" s="672"/>
      <c r="NAM30" s="672"/>
      <c r="NAN30" s="672"/>
      <c r="NAO30" s="672"/>
      <c r="NAP30" s="672"/>
      <c r="NAQ30" s="672"/>
      <c r="NAR30" s="672"/>
      <c r="NAS30" s="672"/>
      <c r="NAT30" s="672"/>
      <c r="NAU30" s="672"/>
      <c r="NAV30" s="672"/>
      <c r="NAW30" s="672"/>
      <c r="NAX30" s="672"/>
      <c r="NAY30" s="672"/>
      <c r="NAZ30" s="672"/>
      <c r="NBA30" s="672"/>
      <c r="NBB30" s="672"/>
      <c r="NBC30" s="672"/>
      <c r="NBD30" s="672"/>
      <c r="NBE30" s="672"/>
      <c r="NBF30" s="672"/>
      <c r="NBG30" s="672"/>
      <c r="NBH30" s="672"/>
      <c r="NBI30" s="672"/>
      <c r="NBJ30" s="672"/>
      <c r="NBK30" s="672"/>
      <c r="NBL30" s="672"/>
      <c r="NBM30" s="672"/>
      <c r="NBN30" s="672"/>
      <c r="NBO30" s="672"/>
      <c r="NBP30" s="672"/>
      <c r="NBQ30" s="672"/>
      <c r="NBR30" s="672"/>
      <c r="NBS30" s="672"/>
      <c r="NBT30" s="672"/>
      <c r="NBU30" s="672"/>
      <c r="NBV30" s="672"/>
      <c r="NBW30" s="672"/>
      <c r="NBX30" s="672"/>
      <c r="NBY30" s="672"/>
      <c r="NBZ30" s="672"/>
      <c r="NCA30" s="672"/>
      <c r="NCB30" s="672"/>
      <c r="NCC30" s="672"/>
      <c r="NCD30" s="672"/>
      <c r="NCE30" s="672"/>
      <c r="NCF30" s="672"/>
      <c r="NCG30" s="672"/>
      <c r="NCH30" s="672"/>
      <c r="NCI30" s="672"/>
      <c r="NCJ30" s="672"/>
      <c r="NCK30" s="672"/>
      <c r="NCL30" s="672"/>
      <c r="NCM30" s="672"/>
      <c r="NCN30" s="672"/>
      <c r="NCO30" s="672"/>
      <c r="NCP30" s="672"/>
      <c r="NCQ30" s="672"/>
      <c r="NCR30" s="672"/>
      <c r="NCS30" s="672"/>
      <c r="NCT30" s="672"/>
      <c r="NCU30" s="672"/>
      <c r="NCV30" s="672"/>
      <c r="NCW30" s="672"/>
      <c r="NCX30" s="672"/>
      <c r="NCY30" s="672"/>
      <c r="NCZ30" s="672"/>
      <c r="NDA30" s="672"/>
      <c r="NDB30" s="672"/>
      <c r="NDC30" s="672"/>
      <c r="NDD30" s="672"/>
      <c r="NDE30" s="672"/>
      <c r="NDF30" s="672"/>
      <c r="NDG30" s="672"/>
      <c r="NDH30" s="672"/>
      <c r="NDI30" s="672"/>
      <c r="NDJ30" s="672"/>
      <c r="NDK30" s="672"/>
      <c r="NDL30" s="672"/>
      <c r="NDM30" s="672"/>
      <c r="NDN30" s="672"/>
      <c r="NDO30" s="672"/>
      <c r="NDP30" s="672"/>
      <c r="NDQ30" s="672"/>
      <c r="NDR30" s="672"/>
      <c r="NDS30" s="672"/>
      <c r="NDT30" s="672"/>
      <c r="NDU30" s="672"/>
      <c r="NDV30" s="672"/>
      <c r="NDW30" s="672"/>
      <c r="NDX30" s="672"/>
      <c r="NDY30" s="672"/>
      <c r="NDZ30" s="672"/>
      <c r="NEA30" s="672"/>
      <c r="NEB30" s="672"/>
      <c r="NEC30" s="672"/>
      <c r="NED30" s="672"/>
      <c r="NEE30" s="672"/>
      <c r="NEF30" s="672"/>
      <c r="NEG30" s="672"/>
      <c r="NEH30" s="672"/>
      <c r="NEI30" s="672"/>
      <c r="NEJ30" s="672"/>
      <c r="NEK30" s="672"/>
      <c r="NEL30" s="672"/>
      <c r="NEM30" s="672"/>
      <c r="NEN30" s="672"/>
      <c r="NEO30" s="672"/>
      <c r="NEP30" s="672"/>
      <c r="NEQ30" s="672"/>
      <c r="NER30" s="672"/>
      <c r="NES30" s="672"/>
      <c r="NET30" s="672"/>
      <c r="NEU30" s="672"/>
      <c r="NEV30" s="672"/>
      <c r="NEW30" s="672"/>
      <c r="NEX30" s="672"/>
      <c r="NEY30" s="672"/>
      <c r="NEZ30" s="672"/>
      <c r="NFA30" s="672"/>
      <c r="NFB30" s="672"/>
      <c r="NFC30" s="672"/>
      <c r="NFD30" s="672"/>
      <c r="NFE30" s="672"/>
      <c r="NFF30" s="672"/>
      <c r="NFG30" s="672"/>
      <c r="NFH30" s="672"/>
      <c r="NFI30" s="672"/>
      <c r="NFJ30" s="672"/>
      <c r="NFK30" s="672"/>
      <c r="NFL30" s="672"/>
      <c r="NFM30" s="672"/>
      <c r="NFN30" s="672"/>
      <c r="NFO30" s="672"/>
      <c r="NFP30" s="672"/>
      <c r="NFQ30" s="672"/>
      <c r="NFR30" s="672"/>
      <c r="NFS30" s="672"/>
      <c r="NFT30" s="672"/>
      <c r="NFU30" s="672"/>
      <c r="NFV30" s="672"/>
      <c r="NFW30" s="672"/>
      <c r="NFX30" s="672"/>
      <c r="NFY30" s="672"/>
      <c r="NFZ30" s="672"/>
      <c r="NGA30" s="672"/>
      <c r="NGB30" s="672"/>
      <c r="NGC30" s="672"/>
      <c r="NGD30" s="672"/>
      <c r="NGE30" s="672"/>
      <c r="NGF30" s="672"/>
      <c r="NGG30" s="672"/>
      <c r="NGH30" s="672"/>
      <c r="NGI30" s="672"/>
      <c r="NGJ30" s="672"/>
      <c r="NGK30" s="672"/>
      <c r="NGL30" s="672"/>
      <c r="NGM30" s="672"/>
      <c r="NGN30" s="672"/>
      <c r="NGO30" s="672"/>
      <c r="NGP30" s="672"/>
      <c r="NGQ30" s="672"/>
      <c r="NGR30" s="672"/>
      <c r="NGS30" s="672"/>
      <c r="NGT30" s="672"/>
      <c r="NGU30" s="672"/>
      <c r="NGV30" s="672"/>
      <c r="NGW30" s="672"/>
      <c r="NGX30" s="672"/>
      <c r="NGY30" s="672"/>
      <c r="NGZ30" s="672"/>
      <c r="NHA30" s="672"/>
      <c r="NHB30" s="672"/>
      <c r="NHC30" s="672"/>
      <c r="NHD30" s="672"/>
      <c r="NHE30" s="672"/>
      <c r="NHF30" s="672"/>
      <c r="NHG30" s="672"/>
      <c r="NHH30" s="672"/>
      <c r="NHI30" s="672"/>
      <c r="NHJ30" s="672"/>
      <c r="NHK30" s="672"/>
      <c r="NHL30" s="672"/>
      <c r="NHM30" s="672"/>
      <c r="NHN30" s="672"/>
      <c r="NHO30" s="672"/>
      <c r="NHP30" s="672"/>
      <c r="NHQ30" s="672"/>
      <c r="NHR30" s="672"/>
      <c r="NHS30" s="672"/>
      <c r="NHT30" s="672"/>
      <c r="NHU30" s="672"/>
      <c r="NHV30" s="672"/>
      <c r="NHW30" s="672"/>
      <c r="NHX30" s="672"/>
      <c r="NHY30" s="672"/>
      <c r="NHZ30" s="672"/>
      <c r="NIA30" s="672"/>
      <c r="NIB30" s="672"/>
      <c r="NIC30" s="672"/>
      <c r="NID30" s="672"/>
      <c r="NIE30" s="672"/>
      <c r="NIF30" s="672"/>
      <c r="NIG30" s="672"/>
      <c r="NIH30" s="672"/>
      <c r="NII30" s="672"/>
      <c r="NIJ30" s="672"/>
      <c r="NIK30" s="672"/>
      <c r="NIL30" s="672"/>
      <c r="NIM30" s="672"/>
      <c r="NIN30" s="672"/>
      <c r="NIO30" s="672"/>
      <c r="NIP30" s="672"/>
      <c r="NIQ30" s="672"/>
      <c r="NIR30" s="672"/>
      <c r="NIS30" s="672"/>
      <c r="NIT30" s="672"/>
      <c r="NIU30" s="672"/>
      <c r="NIV30" s="672"/>
      <c r="NIW30" s="672"/>
      <c r="NIX30" s="672"/>
      <c r="NIY30" s="672"/>
      <c r="NIZ30" s="672"/>
      <c r="NJA30" s="672"/>
      <c r="NJB30" s="672"/>
      <c r="NJC30" s="672"/>
      <c r="NJD30" s="672"/>
      <c r="NJE30" s="672"/>
      <c r="NJF30" s="672"/>
      <c r="NJG30" s="672"/>
      <c r="NJH30" s="672"/>
      <c r="NJI30" s="672"/>
      <c r="NJJ30" s="672"/>
      <c r="NJK30" s="672"/>
      <c r="NJL30" s="672"/>
      <c r="NJM30" s="672"/>
      <c r="NJN30" s="672"/>
      <c r="NJO30" s="672"/>
      <c r="NJP30" s="672"/>
      <c r="NJQ30" s="672"/>
      <c r="NJR30" s="672"/>
      <c r="NJS30" s="672"/>
      <c r="NJT30" s="672"/>
      <c r="NJU30" s="672"/>
      <c r="NJV30" s="672"/>
      <c r="NJW30" s="672"/>
      <c r="NJX30" s="672"/>
      <c r="NJY30" s="672"/>
      <c r="NJZ30" s="672"/>
      <c r="NKA30" s="672"/>
      <c r="NKB30" s="672"/>
      <c r="NKC30" s="672"/>
      <c r="NKD30" s="672"/>
      <c r="NKE30" s="672"/>
      <c r="NKF30" s="672"/>
      <c r="NKG30" s="672"/>
      <c r="NKH30" s="672"/>
      <c r="NKI30" s="672"/>
      <c r="NKJ30" s="672"/>
      <c r="NKK30" s="672"/>
      <c r="NKL30" s="672"/>
      <c r="NKM30" s="672"/>
      <c r="NKN30" s="672"/>
      <c r="NKO30" s="672"/>
      <c r="NKP30" s="672"/>
      <c r="NKQ30" s="672"/>
      <c r="NKR30" s="672"/>
      <c r="NKS30" s="672"/>
      <c r="NKT30" s="672"/>
      <c r="NKU30" s="672"/>
      <c r="NKV30" s="672"/>
      <c r="NKW30" s="672"/>
      <c r="NKX30" s="672"/>
      <c r="NKY30" s="672"/>
      <c r="NKZ30" s="672"/>
      <c r="NLA30" s="672"/>
      <c r="NLB30" s="672"/>
      <c r="NLC30" s="672"/>
      <c r="NLD30" s="672"/>
      <c r="NLE30" s="672"/>
      <c r="NLF30" s="672"/>
      <c r="NLG30" s="672"/>
      <c r="NLH30" s="672"/>
      <c r="NLI30" s="672"/>
      <c r="NLJ30" s="672"/>
      <c r="NLK30" s="672"/>
      <c r="NLL30" s="672"/>
      <c r="NLM30" s="672"/>
      <c r="NLN30" s="672"/>
      <c r="NLO30" s="672"/>
      <c r="NLP30" s="672"/>
      <c r="NLQ30" s="672"/>
      <c r="NLR30" s="672"/>
      <c r="NLS30" s="672"/>
      <c r="NLT30" s="672"/>
      <c r="NLU30" s="672"/>
      <c r="NLV30" s="672"/>
      <c r="NLW30" s="672"/>
      <c r="NLX30" s="672"/>
      <c r="NLY30" s="672"/>
      <c r="NLZ30" s="672"/>
      <c r="NMA30" s="672"/>
      <c r="NMB30" s="672"/>
      <c r="NMC30" s="672"/>
      <c r="NMD30" s="672"/>
      <c r="NME30" s="672"/>
      <c r="NMF30" s="672"/>
      <c r="NMG30" s="672"/>
      <c r="NMH30" s="672"/>
      <c r="NMI30" s="672"/>
      <c r="NMJ30" s="672"/>
      <c r="NMK30" s="672"/>
      <c r="NML30" s="672"/>
      <c r="NMM30" s="672"/>
      <c r="NMN30" s="672"/>
      <c r="NMO30" s="672"/>
      <c r="NMP30" s="672"/>
      <c r="NMQ30" s="672"/>
      <c r="NMR30" s="672"/>
      <c r="NMS30" s="672"/>
      <c r="NMT30" s="672"/>
      <c r="NMU30" s="672"/>
      <c r="NMV30" s="672"/>
      <c r="NMW30" s="672"/>
      <c r="NMX30" s="672"/>
      <c r="NMY30" s="672"/>
      <c r="NMZ30" s="672"/>
      <c r="NNA30" s="672"/>
      <c r="NNB30" s="672"/>
      <c r="NNC30" s="672"/>
      <c r="NND30" s="672"/>
      <c r="NNE30" s="672"/>
      <c r="NNF30" s="672"/>
      <c r="NNG30" s="672"/>
      <c r="NNH30" s="672"/>
      <c r="NNI30" s="672"/>
      <c r="NNJ30" s="672"/>
      <c r="NNK30" s="672"/>
      <c r="NNL30" s="672"/>
      <c r="NNM30" s="672"/>
      <c r="NNN30" s="672"/>
      <c r="NNO30" s="672"/>
      <c r="NNP30" s="672"/>
      <c r="NNQ30" s="672"/>
      <c r="NNR30" s="672"/>
      <c r="NNS30" s="672"/>
      <c r="NNT30" s="672"/>
      <c r="NNU30" s="672"/>
      <c r="NNV30" s="672"/>
      <c r="NNW30" s="672"/>
      <c r="NNX30" s="672"/>
      <c r="NNY30" s="672"/>
      <c r="NNZ30" s="672"/>
      <c r="NOA30" s="672"/>
      <c r="NOB30" s="672"/>
      <c r="NOC30" s="672"/>
      <c r="NOD30" s="672"/>
      <c r="NOE30" s="672"/>
      <c r="NOF30" s="672"/>
      <c r="NOG30" s="672"/>
      <c r="NOH30" s="672"/>
      <c r="NOI30" s="672"/>
      <c r="NOJ30" s="672"/>
      <c r="NOK30" s="672"/>
      <c r="NOL30" s="672"/>
      <c r="NOM30" s="672"/>
      <c r="NON30" s="672"/>
      <c r="NOO30" s="672"/>
      <c r="NOP30" s="672"/>
      <c r="NOQ30" s="672"/>
      <c r="NOR30" s="672"/>
      <c r="NOS30" s="672"/>
      <c r="NOT30" s="672"/>
      <c r="NOU30" s="672"/>
      <c r="NOV30" s="672"/>
      <c r="NOW30" s="672"/>
      <c r="NOX30" s="672"/>
      <c r="NOY30" s="672"/>
      <c r="NOZ30" s="672"/>
      <c r="NPA30" s="672"/>
      <c r="NPB30" s="672"/>
      <c r="NPC30" s="672"/>
      <c r="NPD30" s="672"/>
      <c r="NPE30" s="672"/>
      <c r="NPF30" s="672"/>
      <c r="NPG30" s="672"/>
      <c r="NPH30" s="672"/>
      <c r="NPI30" s="672"/>
      <c r="NPJ30" s="672"/>
      <c r="NPK30" s="672"/>
      <c r="NPL30" s="672"/>
      <c r="NPM30" s="672"/>
      <c r="NPN30" s="672"/>
      <c r="NPO30" s="672"/>
      <c r="NPP30" s="672"/>
      <c r="NPQ30" s="672"/>
      <c r="NPR30" s="672"/>
      <c r="NPS30" s="672"/>
      <c r="NPT30" s="672"/>
      <c r="NPU30" s="672"/>
      <c r="NPV30" s="672"/>
      <c r="NPW30" s="672"/>
      <c r="NPX30" s="672"/>
      <c r="NPY30" s="672"/>
      <c r="NPZ30" s="672"/>
      <c r="NQA30" s="672"/>
      <c r="NQB30" s="672"/>
      <c r="NQC30" s="672"/>
      <c r="NQD30" s="672"/>
      <c r="NQE30" s="672"/>
      <c r="NQF30" s="672"/>
      <c r="NQG30" s="672"/>
      <c r="NQH30" s="672"/>
      <c r="NQI30" s="672"/>
      <c r="NQJ30" s="672"/>
      <c r="NQK30" s="672"/>
      <c r="NQL30" s="672"/>
      <c r="NQM30" s="672"/>
      <c r="NQN30" s="672"/>
      <c r="NQO30" s="672"/>
      <c r="NQP30" s="672"/>
      <c r="NQQ30" s="672"/>
      <c r="NQR30" s="672"/>
      <c r="NQS30" s="672"/>
      <c r="NQT30" s="672"/>
      <c r="NQU30" s="672"/>
      <c r="NQV30" s="672"/>
      <c r="NQW30" s="672"/>
      <c r="NQX30" s="672"/>
      <c r="NQY30" s="672"/>
      <c r="NQZ30" s="672"/>
      <c r="NRA30" s="672"/>
      <c r="NRB30" s="672"/>
      <c r="NRC30" s="672"/>
      <c r="NRD30" s="672"/>
      <c r="NRE30" s="672"/>
      <c r="NRF30" s="672"/>
      <c r="NRG30" s="672"/>
      <c r="NRH30" s="672"/>
      <c r="NRI30" s="672"/>
      <c r="NRJ30" s="672"/>
      <c r="NRK30" s="672"/>
      <c r="NRL30" s="672"/>
      <c r="NRM30" s="672"/>
      <c r="NRN30" s="672"/>
      <c r="NRO30" s="672"/>
      <c r="NRP30" s="672"/>
      <c r="NRQ30" s="672"/>
      <c r="NRR30" s="672"/>
      <c r="NRS30" s="672"/>
      <c r="NRT30" s="672"/>
      <c r="NRU30" s="672"/>
      <c r="NRV30" s="672"/>
      <c r="NRW30" s="672"/>
      <c r="NRX30" s="672"/>
      <c r="NRY30" s="672"/>
      <c r="NRZ30" s="672"/>
      <c r="NSA30" s="672"/>
      <c r="NSB30" s="672"/>
      <c r="NSC30" s="672"/>
      <c r="NSD30" s="672"/>
      <c r="NSE30" s="672"/>
      <c r="NSF30" s="672"/>
      <c r="NSG30" s="672"/>
      <c r="NSH30" s="672"/>
      <c r="NSI30" s="672"/>
      <c r="NSJ30" s="672"/>
      <c r="NSK30" s="672"/>
      <c r="NSL30" s="672"/>
      <c r="NSM30" s="672"/>
      <c r="NSN30" s="672"/>
      <c r="NSO30" s="672"/>
      <c r="NSP30" s="672"/>
      <c r="NSQ30" s="672"/>
      <c r="NSR30" s="672"/>
      <c r="NSS30" s="672"/>
      <c r="NST30" s="672"/>
      <c r="NSU30" s="672"/>
      <c r="NSV30" s="672"/>
      <c r="NSW30" s="672"/>
      <c r="NSX30" s="672"/>
      <c r="NSY30" s="672"/>
      <c r="NSZ30" s="672"/>
      <c r="NTA30" s="672"/>
      <c r="NTB30" s="672"/>
      <c r="NTC30" s="672"/>
      <c r="NTD30" s="672"/>
      <c r="NTE30" s="672"/>
      <c r="NTF30" s="672"/>
      <c r="NTG30" s="672"/>
      <c r="NTH30" s="672"/>
      <c r="NTI30" s="672"/>
      <c r="NTJ30" s="672"/>
      <c r="NTK30" s="672"/>
      <c r="NTL30" s="672"/>
      <c r="NTM30" s="672"/>
      <c r="NTN30" s="672"/>
      <c r="NTO30" s="672"/>
      <c r="NTP30" s="672"/>
      <c r="NTQ30" s="672"/>
      <c r="NTR30" s="672"/>
      <c r="NTS30" s="672"/>
      <c r="NTT30" s="672"/>
      <c r="NTU30" s="672"/>
      <c r="NTV30" s="672"/>
      <c r="NTW30" s="672"/>
      <c r="NTX30" s="672"/>
      <c r="NTY30" s="672"/>
      <c r="NTZ30" s="672"/>
      <c r="NUA30" s="672"/>
      <c r="NUB30" s="672"/>
      <c r="NUC30" s="672"/>
      <c r="NUD30" s="672"/>
      <c r="NUE30" s="672"/>
      <c r="NUF30" s="672"/>
      <c r="NUG30" s="672"/>
      <c r="NUH30" s="672"/>
      <c r="NUI30" s="672"/>
      <c r="NUJ30" s="672"/>
      <c r="NUK30" s="672"/>
      <c r="NUL30" s="672"/>
      <c r="NUM30" s="672"/>
      <c r="NUN30" s="672"/>
      <c r="NUO30" s="672"/>
      <c r="NUP30" s="672"/>
      <c r="NUQ30" s="672"/>
      <c r="NUR30" s="672"/>
      <c r="NUS30" s="672"/>
      <c r="NUT30" s="672"/>
      <c r="NUU30" s="672"/>
      <c r="NUV30" s="672"/>
      <c r="NUW30" s="672"/>
      <c r="NUX30" s="672"/>
      <c r="NUY30" s="672"/>
      <c r="NUZ30" s="672"/>
      <c r="NVA30" s="672"/>
      <c r="NVB30" s="672"/>
      <c r="NVC30" s="672"/>
      <c r="NVD30" s="672"/>
      <c r="NVE30" s="672"/>
      <c r="NVF30" s="672"/>
      <c r="NVG30" s="672"/>
      <c r="NVH30" s="672"/>
      <c r="NVI30" s="672"/>
      <c r="NVJ30" s="672"/>
      <c r="NVK30" s="672"/>
      <c r="NVL30" s="672"/>
      <c r="NVM30" s="672"/>
      <c r="NVN30" s="672"/>
      <c r="NVO30" s="672"/>
      <c r="NVP30" s="672"/>
      <c r="NVQ30" s="672"/>
      <c r="NVR30" s="672"/>
      <c r="NVS30" s="672"/>
      <c r="NVT30" s="672"/>
      <c r="NVU30" s="672"/>
      <c r="NVV30" s="672"/>
      <c r="NVW30" s="672"/>
      <c r="NVX30" s="672"/>
      <c r="NVY30" s="672"/>
      <c r="NVZ30" s="672"/>
      <c r="NWA30" s="672"/>
      <c r="NWB30" s="672"/>
      <c r="NWC30" s="672"/>
      <c r="NWD30" s="672"/>
      <c r="NWE30" s="672"/>
      <c r="NWF30" s="672"/>
      <c r="NWG30" s="672"/>
      <c r="NWH30" s="672"/>
      <c r="NWI30" s="672"/>
      <c r="NWJ30" s="672"/>
      <c r="NWK30" s="672"/>
      <c r="NWL30" s="672"/>
      <c r="NWM30" s="672"/>
      <c r="NWN30" s="672"/>
      <c r="NWO30" s="672"/>
      <c r="NWP30" s="672"/>
      <c r="NWQ30" s="672"/>
      <c r="NWR30" s="672"/>
      <c r="NWS30" s="672"/>
      <c r="NWT30" s="672"/>
      <c r="NWU30" s="672"/>
      <c r="NWV30" s="672"/>
      <c r="NWW30" s="672"/>
      <c r="NWX30" s="672"/>
      <c r="NWY30" s="672"/>
      <c r="NWZ30" s="672"/>
      <c r="NXA30" s="672"/>
      <c r="NXB30" s="672"/>
      <c r="NXC30" s="672"/>
      <c r="NXD30" s="672"/>
      <c r="NXE30" s="672"/>
      <c r="NXF30" s="672"/>
      <c r="NXG30" s="672"/>
      <c r="NXH30" s="672"/>
      <c r="NXI30" s="672"/>
      <c r="NXJ30" s="672"/>
      <c r="NXK30" s="672"/>
      <c r="NXL30" s="672"/>
      <c r="NXM30" s="672"/>
      <c r="NXN30" s="672"/>
      <c r="NXO30" s="672"/>
      <c r="NXP30" s="672"/>
      <c r="NXQ30" s="672"/>
      <c r="NXR30" s="672"/>
      <c r="NXS30" s="672"/>
      <c r="NXT30" s="672"/>
      <c r="NXU30" s="672"/>
      <c r="NXV30" s="672"/>
      <c r="NXW30" s="672"/>
      <c r="NXX30" s="672"/>
      <c r="NXY30" s="672"/>
      <c r="NXZ30" s="672"/>
      <c r="NYA30" s="672"/>
      <c r="NYB30" s="672"/>
      <c r="NYC30" s="672"/>
      <c r="NYD30" s="672"/>
      <c r="NYE30" s="672"/>
      <c r="NYF30" s="672"/>
      <c r="NYG30" s="672"/>
      <c r="NYH30" s="672"/>
      <c r="NYI30" s="672"/>
      <c r="NYJ30" s="672"/>
      <c r="NYK30" s="672"/>
      <c r="NYL30" s="672"/>
      <c r="NYM30" s="672"/>
      <c r="NYN30" s="672"/>
      <c r="NYO30" s="672"/>
      <c r="NYP30" s="672"/>
      <c r="NYQ30" s="672"/>
      <c r="NYR30" s="672"/>
      <c r="NYS30" s="672"/>
      <c r="NYT30" s="672"/>
      <c r="NYU30" s="672"/>
      <c r="NYV30" s="672"/>
      <c r="NYW30" s="672"/>
      <c r="NYX30" s="672"/>
      <c r="NYY30" s="672"/>
      <c r="NYZ30" s="672"/>
      <c r="NZA30" s="672"/>
      <c r="NZB30" s="672"/>
      <c r="NZC30" s="672"/>
      <c r="NZD30" s="672"/>
      <c r="NZE30" s="672"/>
      <c r="NZF30" s="672"/>
      <c r="NZG30" s="672"/>
      <c r="NZH30" s="672"/>
      <c r="NZI30" s="672"/>
      <c r="NZJ30" s="672"/>
      <c r="NZK30" s="672"/>
      <c r="NZL30" s="672"/>
      <c r="NZM30" s="672"/>
      <c r="NZN30" s="672"/>
      <c r="NZO30" s="672"/>
      <c r="NZP30" s="672"/>
      <c r="NZQ30" s="672"/>
      <c r="NZR30" s="672"/>
      <c r="NZS30" s="672"/>
      <c r="NZT30" s="672"/>
      <c r="NZU30" s="672"/>
      <c r="NZV30" s="672"/>
      <c r="NZW30" s="672"/>
      <c r="NZX30" s="672"/>
      <c r="NZY30" s="672"/>
      <c r="NZZ30" s="672"/>
      <c r="OAA30" s="672"/>
      <c r="OAB30" s="672"/>
      <c r="OAC30" s="672"/>
      <c r="OAD30" s="672"/>
      <c r="OAE30" s="672"/>
      <c r="OAF30" s="672"/>
      <c r="OAG30" s="672"/>
      <c r="OAH30" s="672"/>
      <c r="OAI30" s="672"/>
      <c r="OAJ30" s="672"/>
      <c r="OAK30" s="672"/>
      <c r="OAL30" s="672"/>
      <c r="OAM30" s="672"/>
      <c r="OAN30" s="672"/>
      <c r="OAO30" s="672"/>
      <c r="OAP30" s="672"/>
      <c r="OAQ30" s="672"/>
      <c r="OAR30" s="672"/>
      <c r="OAS30" s="672"/>
      <c r="OAT30" s="672"/>
      <c r="OAU30" s="672"/>
      <c r="OAV30" s="672"/>
      <c r="OAW30" s="672"/>
      <c r="OAX30" s="672"/>
      <c r="OAY30" s="672"/>
      <c r="OAZ30" s="672"/>
      <c r="OBA30" s="672"/>
      <c r="OBB30" s="672"/>
      <c r="OBC30" s="672"/>
      <c r="OBD30" s="672"/>
      <c r="OBE30" s="672"/>
      <c r="OBF30" s="672"/>
      <c r="OBG30" s="672"/>
      <c r="OBH30" s="672"/>
      <c r="OBI30" s="672"/>
      <c r="OBJ30" s="672"/>
      <c r="OBK30" s="672"/>
      <c r="OBL30" s="672"/>
      <c r="OBM30" s="672"/>
      <c r="OBN30" s="672"/>
      <c r="OBO30" s="672"/>
      <c r="OBP30" s="672"/>
      <c r="OBQ30" s="672"/>
      <c r="OBR30" s="672"/>
      <c r="OBS30" s="672"/>
      <c r="OBT30" s="672"/>
      <c r="OBU30" s="672"/>
      <c r="OBV30" s="672"/>
      <c r="OBW30" s="672"/>
      <c r="OBX30" s="672"/>
      <c r="OBY30" s="672"/>
      <c r="OBZ30" s="672"/>
      <c r="OCA30" s="672"/>
      <c r="OCB30" s="672"/>
      <c r="OCC30" s="672"/>
      <c r="OCD30" s="672"/>
      <c r="OCE30" s="672"/>
      <c r="OCF30" s="672"/>
      <c r="OCG30" s="672"/>
      <c r="OCH30" s="672"/>
      <c r="OCI30" s="672"/>
      <c r="OCJ30" s="672"/>
      <c r="OCK30" s="672"/>
      <c r="OCL30" s="672"/>
      <c r="OCM30" s="672"/>
      <c r="OCN30" s="672"/>
      <c r="OCO30" s="672"/>
      <c r="OCP30" s="672"/>
      <c r="OCQ30" s="672"/>
      <c r="OCR30" s="672"/>
      <c r="OCS30" s="672"/>
      <c r="OCT30" s="672"/>
      <c r="OCU30" s="672"/>
      <c r="OCV30" s="672"/>
      <c r="OCW30" s="672"/>
      <c r="OCX30" s="672"/>
      <c r="OCY30" s="672"/>
      <c r="OCZ30" s="672"/>
      <c r="ODA30" s="672"/>
      <c r="ODB30" s="672"/>
      <c r="ODC30" s="672"/>
      <c r="ODD30" s="672"/>
      <c r="ODE30" s="672"/>
      <c r="ODF30" s="672"/>
      <c r="ODG30" s="672"/>
      <c r="ODH30" s="672"/>
      <c r="ODI30" s="672"/>
      <c r="ODJ30" s="672"/>
      <c r="ODK30" s="672"/>
      <c r="ODL30" s="672"/>
      <c r="ODM30" s="672"/>
      <c r="ODN30" s="672"/>
      <c r="ODO30" s="672"/>
      <c r="ODP30" s="672"/>
      <c r="ODQ30" s="672"/>
      <c r="ODR30" s="672"/>
      <c r="ODS30" s="672"/>
      <c r="ODT30" s="672"/>
      <c r="ODU30" s="672"/>
      <c r="ODV30" s="672"/>
      <c r="ODW30" s="672"/>
      <c r="ODX30" s="672"/>
      <c r="ODY30" s="672"/>
      <c r="ODZ30" s="672"/>
      <c r="OEA30" s="672"/>
      <c r="OEB30" s="672"/>
      <c r="OEC30" s="672"/>
      <c r="OED30" s="672"/>
      <c r="OEE30" s="672"/>
      <c r="OEF30" s="672"/>
      <c r="OEG30" s="672"/>
      <c r="OEH30" s="672"/>
      <c r="OEI30" s="672"/>
      <c r="OEJ30" s="672"/>
      <c r="OEK30" s="672"/>
      <c r="OEL30" s="672"/>
      <c r="OEM30" s="672"/>
      <c r="OEN30" s="672"/>
      <c r="OEO30" s="672"/>
      <c r="OEP30" s="672"/>
      <c r="OEQ30" s="672"/>
      <c r="OER30" s="672"/>
      <c r="OES30" s="672"/>
      <c r="OET30" s="672"/>
      <c r="OEU30" s="672"/>
      <c r="OEV30" s="672"/>
      <c r="OEW30" s="672"/>
      <c r="OEX30" s="672"/>
      <c r="OEY30" s="672"/>
      <c r="OEZ30" s="672"/>
      <c r="OFA30" s="672"/>
      <c r="OFB30" s="672"/>
      <c r="OFC30" s="672"/>
      <c r="OFD30" s="672"/>
      <c r="OFE30" s="672"/>
      <c r="OFF30" s="672"/>
      <c r="OFG30" s="672"/>
      <c r="OFH30" s="672"/>
      <c r="OFI30" s="672"/>
      <c r="OFJ30" s="672"/>
      <c r="OFK30" s="672"/>
      <c r="OFL30" s="672"/>
      <c r="OFM30" s="672"/>
      <c r="OFN30" s="672"/>
      <c r="OFO30" s="672"/>
      <c r="OFP30" s="672"/>
      <c r="OFQ30" s="672"/>
      <c r="OFR30" s="672"/>
      <c r="OFS30" s="672"/>
      <c r="OFT30" s="672"/>
      <c r="OFU30" s="672"/>
      <c r="OFV30" s="672"/>
      <c r="OFW30" s="672"/>
      <c r="OFX30" s="672"/>
      <c r="OFY30" s="672"/>
      <c r="OFZ30" s="672"/>
      <c r="OGA30" s="672"/>
      <c r="OGB30" s="672"/>
      <c r="OGC30" s="672"/>
      <c r="OGD30" s="672"/>
      <c r="OGE30" s="672"/>
      <c r="OGF30" s="672"/>
      <c r="OGG30" s="672"/>
      <c r="OGH30" s="672"/>
      <c r="OGI30" s="672"/>
      <c r="OGJ30" s="672"/>
      <c r="OGK30" s="672"/>
      <c r="OGL30" s="672"/>
      <c r="OGM30" s="672"/>
      <c r="OGN30" s="672"/>
      <c r="OGO30" s="672"/>
      <c r="OGP30" s="672"/>
      <c r="OGQ30" s="672"/>
      <c r="OGR30" s="672"/>
      <c r="OGS30" s="672"/>
      <c r="OGT30" s="672"/>
      <c r="OGU30" s="672"/>
      <c r="OGV30" s="672"/>
      <c r="OGW30" s="672"/>
      <c r="OGX30" s="672"/>
      <c r="OGY30" s="672"/>
      <c r="OGZ30" s="672"/>
      <c r="OHA30" s="672"/>
      <c r="OHB30" s="672"/>
      <c r="OHC30" s="672"/>
      <c r="OHD30" s="672"/>
      <c r="OHE30" s="672"/>
      <c r="OHF30" s="672"/>
      <c r="OHG30" s="672"/>
      <c r="OHH30" s="672"/>
      <c r="OHI30" s="672"/>
      <c r="OHJ30" s="672"/>
      <c r="OHK30" s="672"/>
      <c r="OHL30" s="672"/>
      <c r="OHM30" s="672"/>
      <c r="OHN30" s="672"/>
      <c r="OHO30" s="672"/>
      <c r="OHP30" s="672"/>
      <c r="OHQ30" s="672"/>
      <c r="OHR30" s="672"/>
      <c r="OHS30" s="672"/>
      <c r="OHT30" s="672"/>
      <c r="OHU30" s="672"/>
      <c r="OHV30" s="672"/>
      <c r="OHW30" s="672"/>
      <c r="OHX30" s="672"/>
      <c r="OHY30" s="672"/>
      <c r="OHZ30" s="672"/>
      <c r="OIA30" s="672"/>
      <c r="OIB30" s="672"/>
      <c r="OIC30" s="672"/>
      <c r="OID30" s="672"/>
      <c r="OIE30" s="672"/>
      <c r="OIF30" s="672"/>
      <c r="OIG30" s="672"/>
      <c r="OIH30" s="672"/>
      <c r="OII30" s="672"/>
      <c r="OIJ30" s="672"/>
      <c r="OIK30" s="672"/>
      <c r="OIL30" s="672"/>
      <c r="OIM30" s="672"/>
      <c r="OIN30" s="672"/>
      <c r="OIO30" s="672"/>
      <c r="OIP30" s="672"/>
      <c r="OIQ30" s="672"/>
      <c r="OIR30" s="672"/>
      <c r="OIS30" s="672"/>
      <c r="OIT30" s="672"/>
      <c r="OIU30" s="672"/>
      <c r="OIV30" s="672"/>
      <c r="OIW30" s="672"/>
      <c r="OIX30" s="672"/>
      <c r="OIY30" s="672"/>
      <c r="OIZ30" s="672"/>
      <c r="OJA30" s="672"/>
      <c r="OJB30" s="672"/>
      <c r="OJC30" s="672"/>
      <c r="OJD30" s="672"/>
      <c r="OJE30" s="672"/>
      <c r="OJF30" s="672"/>
      <c r="OJG30" s="672"/>
      <c r="OJH30" s="672"/>
      <c r="OJI30" s="672"/>
      <c r="OJJ30" s="672"/>
      <c r="OJK30" s="672"/>
      <c r="OJL30" s="672"/>
      <c r="OJM30" s="672"/>
      <c r="OJN30" s="672"/>
      <c r="OJO30" s="672"/>
      <c r="OJP30" s="672"/>
      <c r="OJQ30" s="672"/>
      <c r="OJR30" s="672"/>
      <c r="OJS30" s="672"/>
      <c r="OJT30" s="672"/>
      <c r="OJU30" s="672"/>
      <c r="OJV30" s="672"/>
      <c r="OJW30" s="672"/>
      <c r="OJX30" s="672"/>
      <c r="OJY30" s="672"/>
      <c r="OJZ30" s="672"/>
      <c r="OKA30" s="672"/>
      <c r="OKB30" s="672"/>
      <c r="OKC30" s="672"/>
      <c r="OKD30" s="672"/>
      <c r="OKE30" s="672"/>
      <c r="OKF30" s="672"/>
      <c r="OKG30" s="672"/>
      <c r="OKH30" s="672"/>
      <c r="OKI30" s="672"/>
      <c r="OKJ30" s="672"/>
      <c r="OKK30" s="672"/>
      <c r="OKL30" s="672"/>
      <c r="OKM30" s="672"/>
      <c r="OKN30" s="672"/>
      <c r="OKO30" s="672"/>
      <c r="OKP30" s="672"/>
      <c r="OKQ30" s="672"/>
      <c r="OKR30" s="672"/>
      <c r="OKS30" s="672"/>
      <c r="OKT30" s="672"/>
      <c r="OKU30" s="672"/>
      <c r="OKV30" s="672"/>
      <c r="OKW30" s="672"/>
      <c r="OKX30" s="672"/>
      <c r="OKY30" s="672"/>
      <c r="OKZ30" s="672"/>
      <c r="OLA30" s="672"/>
      <c r="OLB30" s="672"/>
      <c r="OLC30" s="672"/>
      <c r="OLD30" s="672"/>
      <c r="OLE30" s="672"/>
      <c r="OLF30" s="672"/>
      <c r="OLG30" s="672"/>
      <c r="OLH30" s="672"/>
      <c r="OLI30" s="672"/>
      <c r="OLJ30" s="672"/>
      <c r="OLK30" s="672"/>
      <c r="OLL30" s="672"/>
      <c r="OLM30" s="672"/>
      <c r="OLN30" s="672"/>
      <c r="OLO30" s="672"/>
      <c r="OLP30" s="672"/>
      <c r="OLQ30" s="672"/>
      <c r="OLR30" s="672"/>
      <c r="OLS30" s="672"/>
      <c r="OLT30" s="672"/>
      <c r="OLU30" s="672"/>
      <c r="OLV30" s="672"/>
      <c r="OLW30" s="672"/>
      <c r="OLX30" s="672"/>
      <c r="OLY30" s="672"/>
      <c r="OLZ30" s="672"/>
      <c r="OMA30" s="672"/>
      <c r="OMB30" s="672"/>
      <c r="OMC30" s="672"/>
      <c r="OMD30" s="672"/>
      <c r="OME30" s="672"/>
      <c r="OMF30" s="672"/>
      <c r="OMG30" s="672"/>
      <c r="OMH30" s="672"/>
      <c r="OMI30" s="672"/>
      <c r="OMJ30" s="672"/>
      <c r="OMK30" s="672"/>
      <c r="OML30" s="672"/>
      <c r="OMM30" s="672"/>
      <c r="OMN30" s="672"/>
      <c r="OMO30" s="672"/>
      <c r="OMP30" s="672"/>
      <c r="OMQ30" s="672"/>
      <c r="OMR30" s="672"/>
      <c r="OMS30" s="672"/>
      <c r="OMT30" s="672"/>
      <c r="OMU30" s="672"/>
      <c r="OMV30" s="672"/>
      <c r="OMW30" s="672"/>
      <c r="OMX30" s="672"/>
      <c r="OMY30" s="672"/>
      <c r="OMZ30" s="672"/>
      <c r="ONA30" s="672"/>
      <c r="ONB30" s="672"/>
      <c r="ONC30" s="672"/>
      <c r="OND30" s="672"/>
      <c r="ONE30" s="672"/>
      <c r="ONF30" s="672"/>
      <c r="ONG30" s="672"/>
      <c r="ONH30" s="672"/>
      <c r="ONI30" s="672"/>
      <c r="ONJ30" s="672"/>
      <c r="ONK30" s="672"/>
      <c r="ONL30" s="672"/>
      <c r="ONM30" s="672"/>
      <c r="ONN30" s="672"/>
      <c r="ONO30" s="672"/>
      <c r="ONP30" s="672"/>
      <c r="ONQ30" s="672"/>
      <c r="ONR30" s="672"/>
      <c r="ONS30" s="672"/>
      <c r="ONT30" s="672"/>
      <c r="ONU30" s="672"/>
      <c r="ONV30" s="672"/>
      <c r="ONW30" s="672"/>
      <c r="ONX30" s="672"/>
      <c r="ONY30" s="672"/>
      <c r="ONZ30" s="672"/>
      <c r="OOA30" s="672"/>
      <c r="OOB30" s="672"/>
      <c r="OOC30" s="672"/>
      <c r="OOD30" s="672"/>
      <c r="OOE30" s="672"/>
      <c r="OOF30" s="672"/>
      <c r="OOG30" s="672"/>
      <c r="OOH30" s="672"/>
      <c r="OOI30" s="672"/>
      <c r="OOJ30" s="672"/>
      <c r="OOK30" s="672"/>
      <c r="OOL30" s="672"/>
      <c r="OOM30" s="672"/>
      <c r="OON30" s="672"/>
      <c r="OOO30" s="672"/>
      <c r="OOP30" s="672"/>
      <c r="OOQ30" s="672"/>
      <c r="OOR30" s="672"/>
      <c r="OOS30" s="672"/>
      <c r="OOT30" s="672"/>
      <c r="OOU30" s="672"/>
      <c r="OOV30" s="672"/>
      <c r="OOW30" s="672"/>
      <c r="OOX30" s="672"/>
      <c r="OOY30" s="672"/>
      <c r="OOZ30" s="672"/>
      <c r="OPA30" s="672"/>
      <c r="OPB30" s="672"/>
      <c r="OPC30" s="672"/>
      <c r="OPD30" s="672"/>
      <c r="OPE30" s="672"/>
      <c r="OPF30" s="672"/>
      <c r="OPG30" s="672"/>
      <c r="OPH30" s="672"/>
      <c r="OPI30" s="672"/>
      <c r="OPJ30" s="672"/>
      <c r="OPK30" s="672"/>
      <c r="OPL30" s="672"/>
      <c r="OPM30" s="672"/>
      <c r="OPN30" s="672"/>
      <c r="OPO30" s="672"/>
      <c r="OPP30" s="672"/>
      <c r="OPQ30" s="672"/>
      <c r="OPR30" s="672"/>
      <c r="OPS30" s="672"/>
      <c r="OPT30" s="672"/>
      <c r="OPU30" s="672"/>
      <c r="OPV30" s="672"/>
      <c r="OPW30" s="672"/>
      <c r="OPX30" s="672"/>
      <c r="OPY30" s="672"/>
      <c r="OPZ30" s="672"/>
      <c r="OQA30" s="672"/>
      <c r="OQB30" s="672"/>
      <c r="OQC30" s="672"/>
      <c r="OQD30" s="672"/>
      <c r="OQE30" s="672"/>
      <c r="OQF30" s="672"/>
      <c r="OQG30" s="672"/>
      <c r="OQH30" s="672"/>
      <c r="OQI30" s="672"/>
      <c r="OQJ30" s="672"/>
      <c r="OQK30" s="672"/>
      <c r="OQL30" s="672"/>
      <c r="OQM30" s="672"/>
      <c r="OQN30" s="672"/>
      <c r="OQO30" s="672"/>
      <c r="OQP30" s="672"/>
      <c r="OQQ30" s="672"/>
      <c r="OQR30" s="672"/>
      <c r="OQS30" s="672"/>
      <c r="OQT30" s="672"/>
      <c r="OQU30" s="672"/>
      <c r="OQV30" s="672"/>
      <c r="OQW30" s="672"/>
      <c r="OQX30" s="672"/>
      <c r="OQY30" s="672"/>
      <c r="OQZ30" s="672"/>
      <c r="ORA30" s="672"/>
      <c r="ORB30" s="672"/>
      <c r="ORC30" s="672"/>
      <c r="ORD30" s="672"/>
      <c r="ORE30" s="672"/>
      <c r="ORF30" s="672"/>
      <c r="ORG30" s="672"/>
      <c r="ORH30" s="672"/>
      <c r="ORI30" s="672"/>
      <c r="ORJ30" s="672"/>
      <c r="ORK30" s="672"/>
      <c r="ORL30" s="672"/>
      <c r="ORM30" s="672"/>
      <c r="ORN30" s="672"/>
      <c r="ORO30" s="672"/>
      <c r="ORP30" s="672"/>
      <c r="ORQ30" s="672"/>
      <c r="ORR30" s="672"/>
      <c r="ORS30" s="672"/>
      <c r="ORT30" s="672"/>
      <c r="ORU30" s="672"/>
      <c r="ORV30" s="672"/>
      <c r="ORW30" s="672"/>
      <c r="ORX30" s="672"/>
      <c r="ORY30" s="672"/>
      <c r="ORZ30" s="672"/>
      <c r="OSA30" s="672"/>
      <c r="OSB30" s="672"/>
      <c r="OSC30" s="672"/>
      <c r="OSD30" s="672"/>
      <c r="OSE30" s="672"/>
      <c r="OSF30" s="672"/>
      <c r="OSG30" s="672"/>
      <c r="OSH30" s="672"/>
      <c r="OSI30" s="672"/>
      <c r="OSJ30" s="672"/>
      <c r="OSK30" s="672"/>
      <c r="OSL30" s="672"/>
      <c r="OSM30" s="672"/>
      <c r="OSN30" s="672"/>
      <c r="OSO30" s="672"/>
      <c r="OSP30" s="672"/>
      <c r="OSQ30" s="672"/>
      <c r="OSR30" s="672"/>
      <c r="OSS30" s="672"/>
      <c r="OST30" s="672"/>
      <c r="OSU30" s="672"/>
      <c r="OSV30" s="672"/>
      <c r="OSW30" s="672"/>
      <c r="OSX30" s="672"/>
      <c r="OSY30" s="672"/>
      <c r="OSZ30" s="672"/>
      <c r="OTA30" s="672"/>
      <c r="OTB30" s="672"/>
      <c r="OTC30" s="672"/>
      <c r="OTD30" s="672"/>
      <c r="OTE30" s="672"/>
      <c r="OTF30" s="672"/>
      <c r="OTG30" s="672"/>
      <c r="OTH30" s="672"/>
      <c r="OTI30" s="672"/>
      <c r="OTJ30" s="672"/>
      <c r="OTK30" s="672"/>
      <c r="OTL30" s="672"/>
      <c r="OTM30" s="672"/>
      <c r="OTN30" s="672"/>
      <c r="OTO30" s="672"/>
      <c r="OTP30" s="672"/>
      <c r="OTQ30" s="672"/>
      <c r="OTR30" s="672"/>
      <c r="OTS30" s="672"/>
      <c r="OTT30" s="672"/>
      <c r="OTU30" s="672"/>
      <c r="OTV30" s="672"/>
      <c r="OTW30" s="672"/>
      <c r="OTX30" s="672"/>
      <c r="OTY30" s="672"/>
      <c r="OTZ30" s="672"/>
      <c r="OUA30" s="672"/>
      <c r="OUB30" s="672"/>
      <c r="OUC30" s="672"/>
      <c r="OUD30" s="672"/>
      <c r="OUE30" s="672"/>
      <c r="OUF30" s="672"/>
      <c r="OUG30" s="672"/>
      <c r="OUH30" s="672"/>
      <c r="OUI30" s="672"/>
      <c r="OUJ30" s="672"/>
      <c r="OUK30" s="672"/>
      <c r="OUL30" s="672"/>
      <c r="OUM30" s="672"/>
      <c r="OUN30" s="672"/>
      <c r="OUO30" s="672"/>
      <c r="OUP30" s="672"/>
      <c r="OUQ30" s="672"/>
      <c r="OUR30" s="672"/>
      <c r="OUS30" s="672"/>
      <c r="OUT30" s="672"/>
      <c r="OUU30" s="672"/>
      <c r="OUV30" s="672"/>
      <c r="OUW30" s="672"/>
      <c r="OUX30" s="672"/>
      <c r="OUY30" s="672"/>
      <c r="OUZ30" s="672"/>
      <c r="OVA30" s="672"/>
      <c r="OVB30" s="672"/>
      <c r="OVC30" s="672"/>
      <c r="OVD30" s="672"/>
      <c r="OVE30" s="672"/>
      <c r="OVF30" s="672"/>
      <c r="OVG30" s="672"/>
      <c r="OVH30" s="672"/>
      <c r="OVI30" s="672"/>
      <c r="OVJ30" s="672"/>
      <c r="OVK30" s="672"/>
      <c r="OVL30" s="672"/>
      <c r="OVM30" s="672"/>
      <c r="OVN30" s="672"/>
      <c r="OVO30" s="672"/>
      <c r="OVP30" s="672"/>
      <c r="OVQ30" s="672"/>
      <c r="OVR30" s="672"/>
      <c r="OVS30" s="672"/>
      <c r="OVT30" s="672"/>
      <c r="OVU30" s="672"/>
      <c r="OVV30" s="672"/>
      <c r="OVW30" s="672"/>
      <c r="OVX30" s="672"/>
      <c r="OVY30" s="672"/>
      <c r="OVZ30" s="672"/>
      <c r="OWA30" s="672"/>
      <c r="OWB30" s="672"/>
      <c r="OWC30" s="672"/>
      <c r="OWD30" s="672"/>
      <c r="OWE30" s="672"/>
      <c r="OWF30" s="672"/>
      <c r="OWG30" s="672"/>
      <c r="OWH30" s="672"/>
      <c r="OWI30" s="672"/>
      <c r="OWJ30" s="672"/>
      <c r="OWK30" s="672"/>
      <c r="OWL30" s="672"/>
      <c r="OWM30" s="672"/>
      <c r="OWN30" s="672"/>
      <c r="OWO30" s="672"/>
      <c r="OWP30" s="672"/>
      <c r="OWQ30" s="672"/>
      <c r="OWR30" s="672"/>
      <c r="OWS30" s="672"/>
      <c r="OWT30" s="672"/>
      <c r="OWU30" s="672"/>
      <c r="OWV30" s="672"/>
      <c r="OWW30" s="672"/>
      <c r="OWX30" s="672"/>
      <c r="OWY30" s="672"/>
      <c r="OWZ30" s="672"/>
      <c r="OXA30" s="672"/>
      <c r="OXB30" s="672"/>
      <c r="OXC30" s="672"/>
      <c r="OXD30" s="672"/>
      <c r="OXE30" s="672"/>
      <c r="OXF30" s="672"/>
      <c r="OXG30" s="672"/>
      <c r="OXH30" s="672"/>
      <c r="OXI30" s="672"/>
      <c r="OXJ30" s="672"/>
      <c r="OXK30" s="672"/>
      <c r="OXL30" s="672"/>
      <c r="OXM30" s="672"/>
      <c r="OXN30" s="672"/>
      <c r="OXO30" s="672"/>
      <c r="OXP30" s="672"/>
      <c r="OXQ30" s="672"/>
      <c r="OXR30" s="672"/>
      <c r="OXS30" s="672"/>
      <c r="OXT30" s="672"/>
      <c r="OXU30" s="672"/>
      <c r="OXV30" s="672"/>
      <c r="OXW30" s="672"/>
      <c r="OXX30" s="672"/>
      <c r="OXY30" s="672"/>
      <c r="OXZ30" s="672"/>
      <c r="OYA30" s="672"/>
      <c r="OYB30" s="672"/>
      <c r="OYC30" s="672"/>
      <c r="OYD30" s="672"/>
      <c r="OYE30" s="672"/>
      <c r="OYF30" s="672"/>
      <c r="OYG30" s="672"/>
      <c r="OYH30" s="672"/>
      <c r="OYI30" s="672"/>
      <c r="OYJ30" s="672"/>
      <c r="OYK30" s="672"/>
      <c r="OYL30" s="672"/>
      <c r="OYM30" s="672"/>
      <c r="OYN30" s="672"/>
      <c r="OYO30" s="672"/>
      <c r="OYP30" s="672"/>
      <c r="OYQ30" s="672"/>
      <c r="OYR30" s="672"/>
      <c r="OYS30" s="672"/>
      <c r="OYT30" s="672"/>
      <c r="OYU30" s="672"/>
      <c r="OYV30" s="672"/>
      <c r="OYW30" s="672"/>
      <c r="OYX30" s="672"/>
      <c r="OYY30" s="672"/>
      <c r="OYZ30" s="672"/>
      <c r="OZA30" s="672"/>
      <c r="OZB30" s="672"/>
      <c r="OZC30" s="672"/>
      <c r="OZD30" s="672"/>
      <c r="OZE30" s="672"/>
      <c r="OZF30" s="672"/>
      <c r="OZG30" s="672"/>
      <c r="OZH30" s="672"/>
      <c r="OZI30" s="672"/>
      <c r="OZJ30" s="672"/>
      <c r="OZK30" s="672"/>
      <c r="OZL30" s="672"/>
      <c r="OZM30" s="672"/>
      <c r="OZN30" s="672"/>
      <c r="OZO30" s="672"/>
      <c r="OZP30" s="672"/>
      <c r="OZQ30" s="672"/>
      <c r="OZR30" s="672"/>
      <c r="OZS30" s="672"/>
      <c r="OZT30" s="672"/>
      <c r="OZU30" s="672"/>
      <c r="OZV30" s="672"/>
      <c r="OZW30" s="672"/>
      <c r="OZX30" s="672"/>
      <c r="OZY30" s="672"/>
      <c r="OZZ30" s="672"/>
      <c r="PAA30" s="672"/>
      <c r="PAB30" s="672"/>
      <c r="PAC30" s="672"/>
      <c r="PAD30" s="672"/>
      <c r="PAE30" s="672"/>
      <c r="PAF30" s="672"/>
      <c r="PAG30" s="672"/>
      <c r="PAH30" s="672"/>
      <c r="PAI30" s="672"/>
      <c r="PAJ30" s="672"/>
      <c r="PAK30" s="672"/>
      <c r="PAL30" s="672"/>
      <c r="PAM30" s="672"/>
      <c r="PAN30" s="672"/>
      <c r="PAO30" s="672"/>
      <c r="PAP30" s="672"/>
      <c r="PAQ30" s="672"/>
      <c r="PAR30" s="672"/>
      <c r="PAS30" s="672"/>
      <c r="PAT30" s="672"/>
      <c r="PAU30" s="672"/>
      <c r="PAV30" s="672"/>
      <c r="PAW30" s="672"/>
      <c r="PAX30" s="672"/>
      <c r="PAY30" s="672"/>
      <c r="PAZ30" s="672"/>
      <c r="PBA30" s="672"/>
      <c r="PBB30" s="672"/>
      <c r="PBC30" s="672"/>
      <c r="PBD30" s="672"/>
      <c r="PBE30" s="672"/>
      <c r="PBF30" s="672"/>
      <c r="PBG30" s="672"/>
      <c r="PBH30" s="672"/>
      <c r="PBI30" s="672"/>
      <c r="PBJ30" s="672"/>
      <c r="PBK30" s="672"/>
      <c r="PBL30" s="672"/>
      <c r="PBM30" s="672"/>
      <c r="PBN30" s="672"/>
      <c r="PBO30" s="672"/>
      <c r="PBP30" s="672"/>
      <c r="PBQ30" s="672"/>
      <c r="PBR30" s="672"/>
      <c r="PBS30" s="672"/>
      <c r="PBT30" s="672"/>
      <c r="PBU30" s="672"/>
      <c r="PBV30" s="672"/>
      <c r="PBW30" s="672"/>
      <c r="PBX30" s="672"/>
      <c r="PBY30" s="672"/>
      <c r="PBZ30" s="672"/>
      <c r="PCA30" s="672"/>
      <c r="PCB30" s="672"/>
      <c r="PCC30" s="672"/>
      <c r="PCD30" s="672"/>
      <c r="PCE30" s="672"/>
      <c r="PCF30" s="672"/>
      <c r="PCG30" s="672"/>
      <c r="PCH30" s="672"/>
      <c r="PCI30" s="672"/>
      <c r="PCJ30" s="672"/>
      <c r="PCK30" s="672"/>
      <c r="PCL30" s="672"/>
      <c r="PCM30" s="672"/>
      <c r="PCN30" s="672"/>
      <c r="PCO30" s="672"/>
      <c r="PCP30" s="672"/>
      <c r="PCQ30" s="672"/>
      <c r="PCR30" s="672"/>
      <c r="PCS30" s="672"/>
      <c r="PCT30" s="672"/>
      <c r="PCU30" s="672"/>
      <c r="PCV30" s="672"/>
      <c r="PCW30" s="672"/>
      <c r="PCX30" s="672"/>
      <c r="PCY30" s="672"/>
      <c r="PCZ30" s="672"/>
      <c r="PDA30" s="672"/>
      <c r="PDB30" s="672"/>
      <c r="PDC30" s="672"/>
      <c r="PDD30" s="672"/>
      <c r="PDE30" s="672"/>
      <c r="PDF30" s="672"/>
      <c r="PDG30" s="672"/>
      <c r="PDH30" s="672"/>
      <c r="PDI30" s="672"/>
      <c r="PDJ30" s="672"/>
      <c r="PDK30" s="672"/>
      <c r="PDL30" s="672"/>
      <c r="PDM30" s="672"/>
      <c r="PDN30" s="672"/>
      <c r="PDO30" s="672"/>
      <c r="PDP30" s="672"/>
      <c r="PDQ30" s="672"/>
      <c r="PDR30" s="672"/>
      <c r="PDS30" s="672"/>
      <c r="PDT30" s="672"/>
      <c r="PDU30" s="672"/>
      <c r="PDV30" s="672"/>
      <c r="PDW30" s="672"/>
      <c r="PDX30" s="672"/>
      <c r="PDY30" s="672"/>
      <c r="PDZ30" s="672"/>
      <c r="PEA30" s="672"/>
      <c r="PEB30" s="672"/>
      <c r="PEC30" s="672"/>
      <c r="PED30" s="672"/>
      <c r="PEE30" s="672"/>
      <c r="PEF30" s="672"/>
      <c r="PEG30" s="672"/>
      <c r="PEH30" s="672"/>
      <c r="PEI30" s="672"/>
      <c r="PEJ30" s="672"/>
      <c r="PEK30" s="672"/>
      <c r="PEL30" s="672"/>
      <c r="PEM30" s="672"/>
      <c r="PEN30" s="672"/>
      <c r="PEO30" s="672"/>
      <c r="PEP30" s="672"/>
      <c r="PEQ30" s="672"/>
      <c r="PER30" s="672"/>
      <c r="PES30" s="672"/>
      <c r="PET30" s="672"/>
      <c r="PEU30" s="672"/>
      <c r="PEV30" s="672"/>
      <c r="PEW30" s="672"/>
      <c r="PEX30" s="672"/>
      <c r="PEY30" s="672"/>
      <c r="PEZ30" s="672"/>
      <c r="PFA30" s="672"/>
      <c r="PFB30" s="672"/>
      <c r="PFC30" s="672"/>
      <c r="PFD30" s="672"/>
      <c r="PFE30" s="672"/>
      <c r="PFF30" s="672"/>
      <c r="PFG30" s="672"/>
      <c r="PFH30" s="672"/>
      <c r="PFI30" s="672"/>
      <c r="PFJ30" s="672"/>
      <c r="PFK30" s="672"/>
      <c r="PFL30" s="672"/>
      <c r="PFM30" s="672"/>
      <c r="PFN30" s="672"/>
      <c r="PFO30" s="672"/>
      <c r="PFP30" s="672"/>
      <c r="PFQ30" s="672"/>
      <c r="PFR30" s="672"/>
      <c r="PFS30" s="672"/>
      <c r="PFT30" s="672"/>
      <c r="PFU30" s="672"/>
      <c r="PFV30" s="672"/>
      <c r="PFW30" s="672"/>
      <c r="PFX30" s="672"/>
      <c r="PFY30" s="672"/>
      <c r="PFZ30" s="672"/>
      <c r="PGA30" s="672"/>
      <c r="PGB30" s="672"/>
      <c r="PGC30" s="672"/>
      <c r="PGD30" s="672"/>
      <c r="PGE30" s="672"/>
      <c r="PGF30" s="672"/>
      <c r="PGG30" s="672"/>
      <c r="PGH30" s="672"/>
      <c r="PGI30" s="672"/>
      <c r="PGJ30" s="672"/>
      <c r="PGK30" s="672"/>
      <c r="PGL30" s="672"/>
      <c r="PGM30" s="672"/>
      <c r="PGN30" s="672"/>
      <c r="PGO30" s="672"/>
      <c r="PGP30" s="672"/>
      <c r="PGQ30" s="672"/>
      <c r="PGR30" s="672"/>
      <c r="PGS30" s="672"/>
      <c r="PGT30" s="672"/>
      <c r="PGU30" s="672"/>
      <c r="PGV30" s="672"/>
      <c r="PGW30" s="672"/>
      <c r="PGX30" s="672"/>
      <c r="PGY30" s="672"/>
      <c r="PGZ30" s="672"/>
      <c r="PHA30" s="672"/>
      <c r="PHB30" s="672"/>
      <c r="PHC30" s="672"/>
      <c r="PHD30" s="672"/>
      <c r="PHE30" s="672"/>
      <c r="PHF30" s="672"/>
      <c r="PHG30" s="672"/>
      <c r="PHH30" s="672"/>
      <c r="PHI30" s="672"/>
      <c r="PHJ30" s="672"/>
      <c r="PHK30" s="672"/>
      <c r="PHL30" s="672"/>
      <c r="PHM30" s="672"/>
      <c r="PHN30" s="672"/>
      <c r="PHO30" s="672"/>
      <c r="PHP30" s="672"/>
      <c r="PHQ30" s="672"/>
      <c r="PHR30" s="672"/>
      <c r="PHS30" s="672"/>
      <c r="PHT30" s="672"/>
      <c r="PHU30" s="672"/>
      <c r="PHV30" s="672"/>
      <c r="PHW30" s="672"/>
      <c r="PHX30" s="672"/>
      <c r="PHY30" s="672"/>
      <c r="PHZ30" s="672"/>
      <c r="PIA30" s="672"/>
      <c r="PIB30" s="672"/>
      <c r="PIC30" s="672"/>
      <c r="PID30" s="672"/>
      <c r="PIE30" s="672"/>
      <c r="PIF30" s="672"/>
      <c r="PIG30" s="672"/>
      <c r="PIH30" s="672"/>
      <c r="PII30" s="672"/>
      <c r="PIJ30" s="672"/>
      <c r="PIK30" s="672"/>
      <c r="PIL30" s="672"/>
      <c r="PIM30" s="672"/>
      <c r="PIN30" s="672"/>
      <c r="PIO30" s="672"/>
      <c r="PIP30" s="672"/>
      <c r="PIQ30" s="672"/>
      <c r="PIR30" s="672"/>
      <c r="PIS30" s="672"/>
      <c r="PIT30" s="672"/>
      <c r="PIU30" s="672"/>
      <c r="PIV30" s="672"/>
      <c r="PIW30" s="672"/>
      <c r="PIX30" s="672"/>
      <c r="PIY30" s="672"/>
      <c r="PIZ30" s="672"/>
      <c r="PJA30" s="672"/>
      <c r="PJB30" s="672"/>
      <c r="PJC30" s="672"/>
      <c r="PJD30" s="672"/>
      <c r="PJE30" s="672"/>
      <c r="PJF30" s="672"/>
      <c r="PJG30" s="672"/>
      <c r="PJH30" s="672"/>
      <c r="PJI30" s="672"/>
      <c r="PJJ30" s="672"/>
      <c r="PJK30" s="672"/>
      <c r="PJL30" s="672"/>
      <c r="PJM30" s="672"/>
      <c r="PJN30" s="672"/>
      <c r="PJO30" s="672"/>
      <c r="PJP30" s="672"/>
      <c r="PJQ30" s="672"/>
      <c r="PJR30" s="672"/>
      <c r="PJS30" s="672"/>
      <c r="PJT30" s="672"/>
      <c r="PJU30" s="672"/>
      <c r="PJV30" s="672"/>
      <c r="PJW30" s="672"/>
      <c r="PJX30" s="672"/>
      <c r="PJY30" s="672"/>
      <c r="PJZ30" s="672"/>
      <c r="PKA30" s="672"/>
      <c r="PKB30" s="672"/>
      <c r="PKC30" s="672"/>
      <c r="PKD30" s="672"/>
      <c r="PKE30" s="672"/>
      <c r="PKF30" s="672"/>
      <c r="PKG30" s="672"/>
      <c r="PKH30" s="672"/>
      <c r="PKI30" s="672"/>
      <c r="PKJ30" s="672"/>
      <c r="PKK30" s="672"/>
      <c r="PKL30" s="672"/>
      <c r="PKM30" s="672"/>
      <c r="PKN30" s="672"/>
      <c r="PKO30" s="672"/>
      <c r="PKP30" s="672"/>
      <c r="PKQ30" s="672"/>
      <c r="PKR30" s="672"/>
      <c r="PKS30" s="672"/>
      <c r="PKT30" s="672"/>
      <c r="PKU30" s="672"/>
      <c r="PKV30" s="672"/>
      <c r="PKW30" s="672"/>
      <c r="PKX30" s="672"/>
      <c r="PKY30" s="672"/>
      <c r="PKZ30" s="672"/>
      <c r="PLA30" s="672"/>
      <c r="PLB30" s="672"/>
      <c r="PLC30" s="672"/>
      <c r="PLD30" s="672"/>
      <c r="PLE30" s="672"/>
      <c r="PLF30" s="672"/>
      <c r="PLG30" s="672"/>
      <c r="PLH30" s="672"/>
      <c r="PLI30" s="672"/>
      <c r="PLJ30" s="672"/>
      <c r="PLK30" s="672"/>
      <c r="PLL30" s="672"/>
      <c r="PLM30" s="672"/>
      <c r="PLN30" s="672"/>
      <c r="PLO30" s="672"/>
      <c r="PLP30" s="672"/>
      <c r="PLQ30" s="672"/>
      <c r="PLR30" s="672"/>
      <c r="PLS30" s="672"/>
      <c r="PLT30" s="672"/>
      <c r="PLU30" s="672"/>
      <c r="PLV30" s="672"/>
      <c r="PLW30" s="672"/>
      <c r="PLX30" s="672"/>
      <c r="PLY30" s="672"/>
      <c r="PLZ30" s="672"/>
      <c r="PMA30" s="672"/>
      <c r="PMB30" s="672"/>
      <c r="PMC30" s="672"/>
      <c r="PMD30" s="672"/>
      <c r="PME30" s="672"/>
      <c r="PMF30" s="672"/>
      <c r="PMG30" s="672"/>
      <c r="PMH30" s="672"/>
      <c r="PMI30" s="672"/>
      <c r="PMJ30" s="672"/>
      <c r="PMK30" s="672"/>
      <c r="PML30" s="672"/>
      <c r="PMM30" s="672"/>
      <c r="PMN30" s="672"/>
      <c r="PMO30" s="672"/>
      <c r="PMP30" s="672"/>
      <c r="PMQ30" s="672"/>
      <c r="PMR30" s="672"/>
      <c r="PMS30" s="672"/>
      <c r="PMT30" s="672"/>
      <c r="PMU30" s="672"/>
      <c r="PMV30" s="672"/>
      <c r="PMW30" s="672"/>
      <c r="PMX30" s="672"/>
      <c r="PMY30" s="672"/>
      <c r="PMZ30" s="672"/>
      <c r="PNA30" s="672"/>
      <c r="PNB30" s="672"/>
      <c r="PNC30" s="672"/>
      <c r="PND30" s="672"/>
      <c r="PNE30" s="672"/>
      <c r="PNF30" s="672"/>
      <c r="PNG30" s="672"/>
      <c r="PNH30" s="672"/>
      <c r="PNI30" s="672"/>
      <c r="PNJ30" s="672"/>
      <c r="PNK30" s="672"/>
      <c r="PNL30" s="672"/>
      <c r="PNM30" s="672"/>
      <c r="PNN30" s="672"/>
      <c r="PNO30" s="672"/>
      <c r="PNP30" s="672"/>
      <c r="PNQ30" s="672"/>
      <c r="PNR30" s="672"/>
      <c r="PNS30" s="672"/>
      <c r="PNT30" s="672"/>
      <c r="PNU30" s="672"/>
      <c r="PNV30" s="672"/>
      <c r="PNW30" s="672"/>
      <c r="PNX30" s="672"/>
      <c r="PNY30" s="672"/>
      <c r="PNZ30" s="672"/>
      <c r="POA30" s="672"/>
      <c r="POB30" s="672"/>
      <c r="POC30" s="672"/>
      <c r="POD30" s="672"/>
      <c r="POE30" s="672"/>
      <c r="POF30" s="672"/>
      <c r="POG30" s="672"/>
      <c r="POH30" s="672"/>
      <c r="POI30" s="672"/>
      <c r="POJ30" s="672"/>
      <c r="POK30" s="672"/>
      <c r="POL30" s="672"/>
      <c r="POM30" s="672"/>
      <c r="PON30" s="672"/>
      <c r="POO30" s="672"/>
      <c r="POP30" s="672"/>
      <c r="POQ30" s="672"/>
      <c r="POR30" s="672"/>
      <c r="POS30" s="672"/>
      <c r="POT30" s="672"/>
      <c r="POU30" s="672"/>
      <c r="POV30" s="672"/>
      <c r="POW30" s="672"/>
      <c r="POX30" s="672"/>
      <c r="POY30" s="672"/>
      <c r="POZ30" s="672"/>
      <c r="PPA30" s="672"/>
      <c r="PPB30" s="672"/>
      <c r="PPC30" s="672"/>
      <c r="PPD30" s="672"/>
      <c r="PPE30" s="672"/>
      <c r="PPF30" s="672"/>
      <c r="PPG30" s="672"/>
      <c r="PPH30" s="672"/>
      <c r="PPI30" s="672"/>
      <c r="PPJ30" s="672"/>
      <c r="PPK30" s="672"/>
      <c r="PPL30" s="672"/>
      <c r="PPM30" s="672"/>
      <c r="PPN30" s="672"/>
      <c r="PPO30" s="672"/>
      <c r="PPP30" s="672"/>
      <c r="PPQ30" s="672"/>
      <c r="PPR30" s="672"/>
      <c r="PPS30" s="672"/>
      <c r="PPT30" s="672"/>
      <c r="PPU30" s="672"/>
      <c r="PPV30" s="672"/>
      <c r="PPW30" s="672"/>
      <c r="PPX30" s="672"/>
      <c r="PPY30" s="672"/>
      <c r="PPZ30" s="672"/>
      <c r="PQA30" s="672"/>
      <c r="PQB30" s="672"/>
      <c r="PQC30" s="672"/>
      <c r="PQD30" s="672"/>
      <c r="PQE30" s="672"/>
      <c r="PQF30" s="672"/>
      <c r="PQG30" s="672"/>
      <c r="PQH30" s="672"/>
      <c r="PQI30" s="672"/>
      <c r="PQJ30" s="672"/>
      <c r="PQK30" s="672"/>
      <c r="PQL30" s="672"/>
      <c r="PQM30" s="672"/>
      <c r="PQN30" s="672"/>
      <c r="PQO30" s="672"/>
      <c r="PQP30" s="672"/>
      <c r="PQQ30" s="672"/>
      <c r="PQR30" s="672"/>
      <c r="PQS30" s="672"/>
      <c r="PQT30" s="672"/>
      <c r="PQU30" s="672"/>
      <c r="PQV30" s="672"/>
      <c r="PQW30" s="672"/>
      <c r="PQX30" s="672"/>
      <c r="PQY30" s="672"/>
      <c r="PQZ30" s="672"/>
      <c r="PRA30" s="672"/>
      <c r="PRB30" s="672"/>
      <c r="PRC30" s="672"/>
      <c r="PRD30" s="672"/>
      <c r="PRE30" s="672"/>
      <c r="PRF30" s="672"/>
      <c r="PRG30" s="672"/>
      <c r="PRH30" s="672"/>
      <c r="PRI30" s="672"/>
      <c r="PRJ30" s="672"/>
      <c r="PRK30" s="672"/>
      <c r="PRL30" s="672"/>
      <c r="PRM30" s="672"/>
      <c r="PRN30" s="672"/>
      <c r="PRO30" s="672"/>
      <c r="PRP30" s="672"/>
      <c r="PRQ30" s="672"/>
      <c r="PRR30" s="672"/>
      <c r="PRS30" s="672"/>
      <c r="PRT30" s="672"/>
      <c r="PRU30" s="672"/>
      <c r="PRV30" s="672"/>
      <c r="PRW30" s="672"/>
      <c r="PRX30" s="672"/>
      <c r="PRY30" s="672"/>
      <c r="PRZ30" s="672"/>
      <c r="PSA30" s="672"/>
      <c r="PSB30" s="672"/>
      <c r="PSC30" s="672"/>
      <c r="PSD30" s="672"/>
      <c r="PSE30" s="672"/>
      <c r="PSF30" s="672"/>
      <c r="PSG30" s="672"/>
      <c r="PSH30" s="672"/>
      <c r="PSI30" s="672"/>
      <c r="PSJ30" s="672"/>
      <c r="PSK30" s="672"/>
      <c r="PSL30" s="672"/>
      <c r="PSM30" s="672"/>
      <c r="PSN30" s="672"/>
      <c r="PSO30" s="672"/>
      <c r="PSP30" s="672"/>
      <c r="PSQ30" s="672"/>
      <c r="PSR30" s="672"/>
      <c r="PSS30" s="672"/>
      <c r="PST30" s="672"/>
      <c r="PSU30" s="672"/>
      <c r="PSV30" s="672"/>
      <c r="PSW30" s="672"/>
      <c r="PSX30" s="672"/>
      <c r="PSY30" s="672"/>
      <c r="PSZ30" s="672"/>
      <c r="PTA30" s="672"/>
      <c r="PTB30" s="672"/>
      <c r="PTC30" s="672"/>
      <c r="PTD30" s="672"/>
      <c r="PTE30" s="672"/>
      <c r="PTF30" s="672"/>
      <c r="PTG30" s="672"/>
      <c r="PTH30" s="672"/>
      <c r="PTI30" s="672"/>
      <c r="PTJ30" s="672"/>
      <c r="PTK30" s="672"/>
      <c r="PTL30" s="672"/>
      <c r="PTM30" s="672"/>
      <c r="PTN30" s="672"/>
      <c r="PTO30" s="672"/>
      <c r="PTP30" s="672"/>
      <c r="PTQ30" s="672"/>
      <c r="PTR30" s="672"/>
      <c r="PTS30" s="672"/>
      <c r="PTT30" s="672"/>
      <c r="PTU30" s="672"/>
      <c r="PTV30" s="672"/>
      <c r="PTW30" s="672"/>
      <c r="PTX30" s="672"/>
      <c r="PTY30" s="672"/>
      <c r="PTZ30" s="672"/>
      <c r="PUA30" s="672"/>
      <c r="PUB30" s="672"/>
      <c r="PUC30" s="672"/>
      <c r="PUD30" s="672"/>
      <c r="PUE30" s="672"/>
      <c r="PUF30" s="672"/>
      <c r="PUG30" s="672"/>
      <c r="PUH30" s="672"/>
      <c r="PUI30" s="672"/>
      <c r="PUJ30" s="672"/>
      <c r="PUK30" s="672"/>
      <c r="PUL30" s="672"/>
      <c r="PUM30" s="672"/>
      <c r="PUN30" s="672"/>
      <c r="PUO30" s="672"/>
      <c r="PUP30" s="672"/>
      <c r="PUQ30" s="672"/>
      <c r="PUR30" s="672"/>
      <c r="PUS30" s="672"/>
      <c r="PUT30" s="672"/>
      <c r="PUU30" s="672"/>
      <c r="PUV30" s="672"/>
      <c r="PUW30" s="672"/>
      <c r="PUX30" s="672"/>
      <c r="PUY30" s="672"/>
      <c r="PUZ30" s="672"/>
      <c r="PVA30" s="672"/>
      <c r="PVB30" s="672"/>
      <c r="PVC30" s="672"/>
      <c r="PVD30" s="672"/>
      <c r="PVE30" s="672"/>
      <c r="PVF30" s="672"/>
      <c r="PVG30" s="672"/>
      <c r="PVH30" s="672"/>
      <c r="PVI30" s="672"/>
      <c r="PVJ30" s="672"/>
      <c r="PVK30" s="672"/>
      <c r="PVL30" s="672"/>
      <c r="PVM30" s="672"/>
      <c r="PVN30" s="672"/>
      <c r="PVO30" s="672"/>
      <c r="PVP30" s="672"/>
      <c r="PVQ30" s="672"/>
      <c r="PVR30" s="672"/>
      <c r="PVS30" s="672"/>
      <c r="PVT30" s="672"/>
      <c r="PVU30" s="672"/>
      <c r="PVV30" s="672"/>
      <c r="PVW30" s="672"/>
      <c r="PVX30" s="672"/>
      <c r="PVY30" s="672"/>
      <c r="PVZ30" s="672"/>
      <c r="PWA30" s="672"/>
      <c r="PWB30" s="672"/>
      <c r="PWC30" s="672"/>
      <c r="PWD30" s="672"/>
      <c r="PWE30" s="672"/>
      <c r="PWF30" s="672"/>
      <c r="PWG30" s="672"/>
      <c r="PWH30" s="672"/>
      <c r="PWI30" s="672"/>
      <c r="PWJ30" s="672"/>
      <c r="PWK30" s="672"/>
      <c r="PWL30" s="672"/>
      <c r="PWM30" s="672"/>
      <c r="PWN30" s="672"/>
      <c r="PWO30" s="672"/>
      <c r="PWP30" s="672"/>
      <c r="PWQ30" s="672"/>
      <c r="PWR30" s="672"/>
      <c r="PWS30" s="672"/>
      <c r="PWT30" s="672"/>
      <c r="PWU30" s="672"/>
      <c r="PWV30" s="672"/>
      <c r="PWW30" s="672"/>
      <c r="PWX30" s="672"/>
      <c r="PWY30" s="672"/>
      <c r="PWZ30" s="672"/>
      <c r="PXA30" s="672"/>
      <c r="PXB30" s="672"/>
      <c r="PXC30" s="672"/>
      <c r="PXD30" s="672"/>
      <c r="PXE30" s="672"/>
      <c r="PXF30" s="672"/>
      <c r="PXG30" s="672"/>
      <c r="PXH30" s="672"/>
      <c r="PXI30" s="672"/>
      <c r="PXJ30" s="672"/>
      <c r="PXK30" s="672"/>
      <c r="PXL30" s="672"/>
      <c r="PXM30" s="672"/>
      <c r="PXN30" s="672"/>
      <c r="PXO30" s="672"/>
      <c r="PXP30" s="672"/>
      <c r="PXQ30" s="672"/>
      <c r="PXR30" s="672"/>
      <c r="PXS30" s="672"/>
      <c r="PXT30" s="672"/>
      <c r="PXU30" s="672"/>
      <c r="PXV30" s="672"/>
      <c r="PXW30" s="672"/>
      <c r="PXX30" s="672"/>
      <c r="PXY30" s="672"/>
      <c r="PXZ30" s="672"/>
      <c r="PYA30" s="672"/>
      <c r="PYB30" s="672"/>
      <c r="PYC30" s="672"/>
      <c r="PYD30" s="672"/>
      <c r="PYE30" s="672"/>
      <c r="PYF30" s="672"/>
      <c r="PYG30" s="672"/>
      <c r="PYH30" s="672"/>
      <c r="PYI30" s="672"/>
      <c r="PYJ30" s="672"/>
      <c r="PYK30" s="672"/>
      <c r="PYL30" s="672"/>
      <c r="PYM30" s="672"/>
      <c r="PYN30" s="672"/>
      <c r="PYO30" s="672"/>
      <c r="PYP30" s="672"/>
      <c r="PYQ30" s="672"/>
      <c r="PYR30" s="672"/>
      <c r="PYS30" s="672"/>
      <c r="PYT30" s="672"/>
      <c r="PYU30" s="672"/>
      <c r="PYV30" s="672"/>
      <c r="PYW30" s="672"/>
      <c r="PYX30" s="672"/>
      <c r="PYY30" s="672"/>
      <c r="PYZ30" s="672"/>
      <c r="PZA30" s="672"/>
      <c r="PZB30" s="672"/>
      <c r="PZC30" s="672"/>
      <c r="PZD30" s="672"/>
      <c r="PZE30" s="672"/>
      <c r="PZF30" s="672"/>
      <c r="PZG30" s="672"/>
      <c r="PZH30" s="672"/>
      <c r="PZI30" s="672"/>
      <c r="PZJ30" s="672"/>
      <c r="PZK30" s="672"/>
      <c r="PZL30" s="672"/>
      <c r="PZM30" s="672"/>
      <c r="PZN30" s="672"/>
      <c r="PZO30" s="672"/>
      <c r="PZP30" s="672"/>
      <c r="PZQ30" s="672"/>
      <c r="PZR30" s="672"/>
      <c r="PZS30" s="672"/>
      <c r="PZT30" s="672"/>
      <c r="PZU30" s="672"/>
      <c r="PZV30" s="672"/>
      <c r="PZW30" s="672"/>
      <c r="PZX30" s="672"/>
      <c r="PZY30" s="672"/>
      <c r="PZZ30" s="672"/>
      <c r="QAA30" s="672"/>
      <c r="QAB30" s="672"/>
      <c r="QAC30" s="672"/>
      <c r="QAD30" s="672"/>
      <c r="QAE30" s="672"/>
      <c r="QAF30" s="672"/>
      <c r="QAG30" s="672"/>
      <c r="QAH30" s="672"/>
      <c r="QAI30" s="672"/>
      <c r="QAJ30" s="672"/>
      <c r="QAK30" s="672"/>
      <c r="QAL30" s="672"/>
      <c r="QAM30" s="672"/>
      <c r="QAN30" s="672"/>
      <c r="QAO30" s="672"/>
      <c r="QAP30" s="672"/>
      <c r="QAQ30" s="672"/>
      <c r="QAR30" s="672"/>
      <c r="QAS30" s="672"/>
      <c r="QAT30" s="672"/>
      <c r="QAU30" s="672"/>
      <c r="QAV30" s="672"/>
      <c r="QAW30" s="672"/>
      <c r="QAX30" s="672"/>
      <c r="QAY30" s="672"/>
      <c r="QAZ30" s="672"/>
      <c r="QBA30" s="672"/>
      <c r="QBB30" s="672"/>
      <c r="QBC30" s="672"/>
      <c r="QBD30" s="672"/>
      <c r="QBE30" s="672"/>
      <c r="QBF30" s="672"/>
      <c r="QBG30" s="672"/>
      <c r="QBH30" s="672"/>
      <c r="QBI30" s="672"/>
      <c r="QBJ30" s="672"/>
      <c r="QBK30" s="672"/>
      <c r="QBL30" s="672"/>
      <c r="QBM30" s="672"/>
      <c r="QBN30" s="672"/>
      <c r="QBO30" s="672"/>
      <c r="QBP30" s="672"/>
      <c r="QBQ30" s="672"/>
      <c r="QBR30" s="672"/>
      <c r="QBS30" s="672"/>
      <c r="QBT30" s="672"/>
      <c r="QBU30" s="672"/>
      <c r="QBV30" s="672"/>
      <c r="QBW30" s="672"/>
      <c r="QBX30" s="672"/>
      <c r="QBY30" s="672"/>
      <c r="QBZ30" s="672"/>
      <c r="QCA30" s="672"/>
      <c r="QCB30" s="672"/>
      <c r="QCC30" s="672"/>
      <c r="QCD30" s="672"/>
      <c r="QCE30" s="672"/>
      <c r="QCF30" s="672"/>
      <c r="QCG30" s="672"/>
      <c r="QCH30" s="672"/>
      <c r="QCI30" s="672"/>
      <c r="QCJ30" s="672"/>
      <c r="QCK30" s="672"/>
      <c r="QCL30" s="672"/>
      <c r="QCM30" s="672"/>
      <c r="QCN30" s="672"/>
      <c r="QCO30" s="672"/>
      <c r="QCP30" s="672"/>
      <c r="QCQ30" s="672"/>
      <c r="QCR30" s="672"/>
      <c r="QCS30" s="672"/>
      <c r="QCT30" s="672"/>
      <c r="QCU30" s="672"/>
      <c r="QCV30" s="672"/>
      <c r="QCW30" s="672"/>
      <c r="QCX30" s="672"/>
      <c r="QCY30" s="672"/>
      <c r="QCZ30" s="672"/>
      <c r="QDA30" s="672"/>
      <c r="QDB30" s="672"/>
      <c r="QDC30" s="672"/>
      <c r="QDD30" s="672"/>
      <c r="QDE30" s="672"/>
      <c r="QDF30" s="672"/>
      <c r="QDG30" s="672"/>
      <c r="QDH30" s="672"/>
      <c r="QDI30" s="672"/>
      <c r="QDJ30" s="672"/>
      <c r="QDK30" s="672"/>
      <c r="QDL30" s="672"/>
      <c r="QDM30" s="672"/>
      <c r="QDN30" s="672"/>
      <c r="QDO30" s="672"/>
      <c r="QDP30" s="672"/>
      <c r="QDQ30" s="672"/>
      <c r="QDR30" s="672"/>
      <c r="QDS30" s="672"/>
      <c r="QDT30" s="672"/>
      <c r="QDU30" s="672"/>
      <c r="QDV30" s="672"/>
      <c r="QDW30" s="672"/>
      <c r="QDX30" s="672"/>
      <c r="QDY30" s="672"/>
      <c r="QDZ30" s="672"/>
      <c r="QEA30" s="672"/>
      <c r="QEB30" s="672"/>
      <c r="QEC30" s="672"/>
      <c r="QED30" s="672"/>
      <c r="QEE30" s="672"/>
      <c r="QEF30" s="672"/>
      <c r="QEG30" s="672"/>
      <c r="QEH30" s="672"/>
      <c r="QEI30" s="672"/>
      <c r="QEJ30" s="672"/>
      <c r="QEK30" s="672"/>
      <c r="QEL30" s="672"/>
      <c r="QEM30" s="672"/>
      <c r="QEN30" s="672"/>
      <c r="QEO30" s="672"/>
      <c r="QEP30" s="672"/>
      <c r="QEQ30" s="672"/>
      <c r="QER30" s="672"/>
      <c r="QES30" s="672"/>
      <c r="QET30" s="672"/>
      <c r="QEU30" s="672"/>
      <c r="QEV30" s="672"/>
      <c r="QEW30" s="672"/>
      <c r="QEX30" s="672"/>
      <c r="QEY30" s="672"/>
      <c r="QEZ30" s="672"/>
      <c r="QFA30" s="672"/>
      <c r="QFB30" s="672"/>
      <c r="QFC30" s="672"/>
      <c r="QFD30" s="672"/>
      <c r="QFE30" s="672"/>
      <c r="QFF30" s="672"/>
      <c r="QFG30" s="672"/>
      <c r="QFH30" s="672"/>
      <c r="QFI30" s="672"/>
      <c r="QFJ30" s="672"/>
      <c r="QFK30" s="672"/>
      <c r="QFL30" s="672"/>
      <c r="QFM30" s="672"/>
      <c r="QFN30" s="672"/>
      <c r="QFO30" s="672"/>
      <c r="QFP30" s="672"/>
      <c r="QFQ30" s="672"/>
      <c r="QFR30" s="672"/>
      <c r="QFS30" s="672"/>
      <c r="QFT30" s="672"/>
      <c r="QFU30" s="672"/>
      <c r="QFV30" s="672"/>
      <c r="QFW30" s="672"/>
      <c r="QFX30" s="672"/>
      <c r="QFY30" s="672"/>
      <c r="QFZ30" s="672"/>
      <c r="QGA30" s="672"/>
      <c r="QGB30" s="672"/>
      <c r="QGC30" s="672"/>
      <c r="QGD30" s="672"/>
      <c r="QGE30" s="672"/>
      <c r="QGF30" s="672"/>
      <c r="QGG30" s="672"/>
      <c r="QGH30" s="672"/>
      <c r="QGI30" s="672"/>
      <c r="QGJ30" s="672"/>
      <c r="QGK30" s="672"/>
      <c r="QGL30" s="672"/>
      <c r="QGM30" s="672"/>
      <c r="QGN30" s="672"/>
      <c r="QGO30" s="672"/>
      <c r="QGP30" s="672"/>
      <c r="QGQ30" s="672"/>
      <c r="QGR30" s="672"/>
      <c r="QGS30" s="672"/>
      <c r="QGT30" s="672"/>
      <c r="QGU30" s="672"/>
      <c r="QGV30" s="672"/>
      <c r="QGW30" s="672"/>
      <c r="QGX30" s="672"/>
      <c r="QGY30" s="672"/>
      <c r="QGZ30" s="672"/>
      <c r="QHA30" s="672"/>
      <c r="QHB30" s="672"/>
      <c r="QHC30" s="672"/>
      <c r="QHD30" s="672"/>
      <c r="QHE30" s="672"/>
      <c r="QHF30" s="672"/>
      <c r="QHG30" s="672"/>
      <c r="QHH30" s="672"/>
      <c r="QHI30" s="672"/>
      <c r="QHJ30" s="672"/>
      <c r="QHK30" s="672"/>
      <c r="QHL30" s="672"/>
      <c r="QHM30" s="672"/>
      <c r="QHN30" s="672"/>
      <c r="QHO30" s="672"/>
      <c r="QHP30" s="672"/>
      <c r="QHQ30" s="672"/>
      <c r="QHR30" s="672"/>
      <c r="QHS30" s="672"/>
      <c r="QHT30" s="672"/>
      <c r="QHU30" s="672"/>
      <c r="QHV30" s="672"/>
      <c r="QHW30" s="672"/>
      <c r="QHX30" s="672"/>
      <c r="QHY30" s="672"/>
      <c r="QHZ30" s="672"/>
      <c r="QIA30" s="672"/>
      <c r="QIB30" s="672"/>
      <c r="QIC30" s="672"/>
      <c r="QID30" s="672"/>
      <c r="QIE30" s="672"/>
      <c r="QIF30" s="672"/>
      <c r="QIG30" s="672"/>
      <c r="QIH30" s="672"/>
      <c r="QII30" s="672"/>
      <c r="QIJ30" s="672"/>
      <c r="QIK30" s="672"/>
      <c r="QIL30" s="672"/>
      <c r="QIM30" s="672"/>
      <c r="QIN30" s="672"/>
      <c r="QIO30" s="672"/>
      <c r="QIP30" s="672"/>
      <c r="QIQ30" s="672"/>
      <c r="QIR30" s="672"/>
      <c r="QIS30" s="672"/>
      <c r="QIT30" s="672"/>
      <c r="QIU30" s="672"/>
      <c r="QIV30" s="672"/>
      <c r="QIW30" s="672"/>
      <c r="QIX30" s="672"/>
      <c r="QIY30" s="672"/>
      <c r="QIZ30" s="672"/>
      <c r="QJA30" s="672"/>
      <c r="QJB30" s="672"/>
      <c r="QJC30" s="672"/>
      <c r="QJD30" s="672"/>
      <c r="QJE30" s="672"/>
      <c r="QJF30" s="672"/>
      <c r="QJG30" s="672"/>
      <c r="QJH30" s="672"/>
      <c r="QJI30" s="672"/>
      <c r="QJJ30" s="672"/>
      <c r="QJK30" s="672"/>
      <c r="QJL30" s="672"/>
      <c r="QJM30" s="672"/>
      <c r="QJN30" s="672"/>
      <c r="QJO30" s="672"/>
      <c r="QJP30" s="672"/>
      <c r="QJQ30" s="672"/>
      <c r="QJR30" s="672"/>
      <c r="QJS30" s="672"/>
      <c r="QJT30" s="672"/>
      <c r="QJU30" s="672"/>
      <c r="QJV30" s="672"/>
      <c r="QJW30" s="672"/>
      <c r="QJX30" s="672"/>
      <c r="QJY30" s="672"/>
      <c r="QJZ30" s="672"/>
      <c r="QKA30" s="672"/>
      <c r="QKB30" s="672"/>
      <c r="QKC30" s="672"/>
      <c r="QKD30" s="672"/>
      <c r="QKE30" s="672"/>
      <c r="QKF30" s="672"/>
      <c r="QKG30" s="672"/>
      <c r="QKH30" s="672"/>
      <c r="QKI30" s="672"/>
      <c r="QKJ30" s="672"/>
      <c r="QKK30" s="672"/>
      <c r="QKL30" s="672"/>
      <c r="QKM30" s="672"/>
      <c r="QKN30" s="672"/>
      <c r="QKO30" s="672"/>
      <c r="QKP30" s="672"/>
      <c r="QKQ30" s="672"/>
      <c r="QKR30" s="672"/>
      <c r="QKS30" s="672"/>
      <c r="QKT30" s="672"/>
      <c r="QKU30" s="672"/>
      <c r="QKV30" s="672"/>
      <c r="QKW30" s="672"/>
      <c r="QKX30" s="672"/>
      <c r="QKY30" s="672"/>
      <c r="QKZ30" s="672"/>
      <c r="QLA30" s="672"/>
      <c r="QLB30" s="672"/>
      <c r="QLC30" s="672"/>
      <c r="QLD30" s="672"/>
      <c r="QLE30" s="672"/>
      <c r="QLF30" s="672"/>
      <c r="QLG30" s="672"/>
      <c r="QLH30" s="672"/>
      <c r="QLI30" s="672"/>
      <c r="QLJ30" s="672"/>
      <c r="QLK30" s="672"/>
      <c r="QLL30" s="672"/>
      <c r="QLM30" s="672"/>
      <c r="QLN30" s="672"/>
      <c r="QLO30" s="672"/>
      <c r="QLP30" s="672"/>
      <c r="QLQ30" s="672"/>
      <c r="QLR30" s="672"/>
      <c r="QLS30" s="672"/>
      <c r="QLT30" s="672"/>
      <c r="QLU30" s="672"/>
      <c r="QLV30" s="672"/>
      <c r="QLW30" s="672"/>
      <c r="QLX30" s="672"/>
      <c r="QLY30" s="672"/>
      <c r="QLZ30" s="672"/>
      <c r="QMA30" s="672"/>
      <c r="QMB30" s="672"/>
      <c r="QMC30" s="672"/>
      <c r="QMD30" s="672"/>
      <c r="QME30" s="672"/>
      <c r="QMF30" s="672"/>
      <c r="QMG30" s="672"/>
      <c r="QMH30" s="672"/>
      <c r="QMI30" s="672"/>
      <c r="QMJ30" s="672"/>
      <c r="QMK30" s="672"/>
      <c r="QML30" s="672"/>
      <c r="QMM30" s="672"/>
      <c r="QMN30" s="672"/>
      <c r="QMO30" s="672"/>
      <c r="QMP30" s="672"/>
      <c r="QMQ30" s="672"/>
      <c r="QMR30" s="672"/>
      <c r="QMS30" s="672"/>
      <c r="QMT30" s="672"/>
      <c r="QMU30" s="672"/>
      <c r="QMV30" s="672"/>
      <c r="QMW30" s="672"/>
      <c r="QMX30" s="672"/>
      <c r="QMY30" s="672"/>
      <c r="QMZ30" s="672"/>
      <c r="QNA30" s="672"/>
      <c r="QNB30" s="672"/>
      <c r="QNC30" s="672"/>
      <c r="QND30" s="672"/>
      <c r="QNE30" s="672"/>
      <c r="QNF30" s="672"/>
      <c r="QNG30" s="672"/>
      <c r="QNH30" s="672"/>
      <c r="QNI30" s="672"/>
      <c r="QNJ30" s="672"/>
      <c r="QNK30" s="672"/>
      <c r="QNL30" s="672"/>
      <c r="QNM30" s="672"/>
      <c r="QNN30" s="672"/>
      <c r="QNO30" s="672"/>
      <c r="QNP30" s="672"/>
      <c r="QNQ30" s="672"/>
      <c r="QNR30" s="672"/>
      <c r="QNS30" s="672"/>
      <c r="QNT30" s="672"/>
      <c r="QNU30" s="672"/>
      <c r="QNV30" s="672"/>
      <c r="QNW30" s="672"/>
      <c r="QNX30" s="672"/>
      <c r="QNY30" s="672"/>
      <c r="QNZ30" s="672"/>
      <c r="QOA30" s="672"/>
      <c r="QOB30" s="672"/>
      <c r="QOC30" s="672"/>
      <c r="QOD30" s="672"/>
      <c r="QOE30" s="672"/>
      <c r="QOF30" s="672"/>
      <c r="QOG30" s="672"/>
      <c r="QOH30" s="672"/>
      <c r="QOI30" s="672"/>
      <c r="QOJ30" s="672"/>
      <c r="QOK30" s="672"/>
      <c r="QOL30" s="672"/>
      <c r="QOM30" s="672"/>
      <c r="QON30" s="672"/>
      <c r="QOO30" s="672"/>
      <c r="QOP30" s="672"/>
      <c r="QOQ30" s="672"/>
      <c r="QOR30" s="672"/>
      <c r="QOS30" s="672"/>
      <c r="QOT30" s="672"/>
      <c r="QOU30" s="672"/>
      <c r="QOV30" s="672"/>
      <c r="QOW30" s="672"/>
      <c r="QOX30" s="672"/>
      <c r="QOY30" s="672"/>
      <c r="QOZ30" s="672"/>
      <c r="QPA30" s="672"/>
      <c r="QPB30" s="672"/>
      <c r="QPC30" s="672"/>
      <c r="QPD30" s="672"/>
      <c r="QPE30" s="672"/>
      <c r="QPF30" s="672"/>
      <c r="QPG30" s="672"/>
      <c r="QPH30" s="672"/>
      <c r="QPI30" s="672"/>
      <c r="QPJ30" s="672"/>
      <c r="QPK30" s="672"/>
      <c r="QPL30" s="672"/>
      <c r="QPM30" s="672"/>
      <c r="QPN30" s="672"/>
      <c r="QPO30" s="672"/>
      <c r="QPP30" s="672"/>
      <c r="QPQ30" s="672"/>
      <c r="QPR30" s="672"/>
      <c r="QPS30" s="672"/>
      <c r="QPT30" s="672"/>
      <c r="QPU30" s="672"/>
      <c r="QPV30" s="672"/>
      <c r="QPW30" s="672"/>
      <c r="QPX30" s="672"/>
      <c r="QPY30" s="672"/>
      <c r="QPZ30" s="672"/>
      <c r="QQA30" s="672"/>
      <c r="QQB30" s="672"/>
      <c r="QQC30" s="672"/>
      <c r="QQD30" s="672"/>
      <c r="QQE30" s="672"/>
      <c r="QQF30" s="672"/>
      <c r="QQG30" s="672"/>
      <c r="QQH30" s="672"/>
      <c r="QQI30" s="672"/>
      <c r="QQJ30" s="672"/>
      <c r="QQK30" s="672"/>
      <c r="QQL30" s="672"/>
      <c r="QQM30" s="672"/>
      <c r="QQN30" s="672"/>
      <c r="QQO30" s="672"/>
      <c r="QQP30" s="672"/>
      <c r="QQQ30" s="672"/>
      <c r="QQR30" s="672"/>
      <c r="QQS30" s="672"/>
      <c r="QQT30" s="672"/>
      <c r="QQU30" s="672"/>
      <c r="QQV30" s="672"/>
      <c r="QQW30" s="672"/>
      <c r="QQX30" s="672"/>
      <c r="QQY30" s="672"/>
      <c r="QQZ30" s="672"/>
      <c r="QRA30" s="672"/>
      <c r="QRB30" s="672"/>
      <c r="QRC30" s="672"/>
      <c r="QRD30" s="672"/>
      <c r="QRE30" s="672"/>
      <c r="QRF30" s="672"/>
      <c r="QRG30" s="672"/>
      <c r="QRH30" s="672"/>
      <c r="QRI30" s="672"/>
      <c r="QRJ30" s="672"/>
      <c r="QRK30" s="672"/>
      <c r="QRL30" s="672"/>
      <c r="QRM30" s="672"/>
      <c r="QRN30" s="672"/>
      <c r="QRO30" s="672"/>
      <c r="QRP30" s="672"/>
      <c r="QRQ30" s="672"/>
      <c r="QRR30" s="672"/>
      <c r="QRS30" s="672"/>
      <c r="QRT30" s="672"/>
      <c r="QRU30" s="672"/>
      <c r="QRV30" s="672"/>
      <c r="QRW30" s="672"/>
      <c r="QRX30" s="672"/>
      <c r="QRY30" s="672"/>
      <c r="QRZ30" s="672"/>
      <c r="QSA30" s="672"/>
      <c r="QSB30" s="672"/>
      <c r="QSC30" s="672"/>
      <c r="QSD30" s="672"/>
      <c r="QSE30" s="672"/>
      <c r="QSF30" s="672"/>
      <c r="QSG30" s="672"/>
      <c r="QSH30" s="672"/>
      <c r="QSI30" s="672"/>
      <c r="QSJ30" s="672"/>
      <c r="QSK30" s="672"/>
      <c r="QSL30" s="672"/>
      <c r="QSM30" s="672"/>
      <c r="QSN30" s="672"/>
      <c r="QSO30" s="672"/>
      <c r="QSP30" s="672"/>
      <c r="QSQ30" s="672"/>
      <c r="QSR30" s="672"/>
      <c r="QSS30" s="672"/>
      <c r="QST30" s="672"/>
      <c r="QSU30" s="672"/>
      <c r="QSV30" s="672"/>
      <c r="QSW30" s="672"/>
      <c r="QSX30" s="672"/>
      <c r="QSY30" s="672"/>
      <c r="QSZ30" s="672"/>
      <c r="QTA30" s="672"/>
      <c r="QTB30" s="672"/>
      <c r="QTC30" s="672"/>
      <c r="QTD30" s="672"/>
      <c r="QTE30" s="672"/>
      <c r="QTF30" s="672"/>
      <c r="QTG30" s="672"/>
      <c r="QTH30" s="672"/>
      <c r="QTI30" s="672"/>
      <c r="QTJ30" s="672"/>
      <c r="QTK30" s="672"/>
      <c r="QTL30" s="672"/>
      <c r="QTM30" s="672"/>
      <c r="QTN30" s="672"/>
      <c r="QTO30" s="672"/>
      <c r="QTP30" s="672"/>
      <c r="QTQ30" s="672"/>
      <c r="QTR30" s="672"/>
      <c r="QTS30" s="672"/>
      <c r="QTT30" s="672"/>
      <c r="QTU30" s="672"/>
      <c r="QTV30" s="672"/>
      <c r="QTW30" s="672"/>
      <c r="QTX30" s="672"/>
      <c r="QTY30" s="672"/>
      <c r="QTZ30" s="672"/>
      <c r="QUA30" s="672"/>
      <c r="QUB30" s="672"/>
      <c r="QUC30" s="672"/>
      <c r="QUD30" s="672"/>
      <c r="QUE30" s="672"/>
      <c r="QUF30" s="672"/>
      <c r="QUG30" s="672"/>
      <c r="QUH30" s="672"/>
      <c r="QUI30" s="672"/>
      <c r="QUJ30" s="672"/>
      <c r="QUK30" s="672"/>
      <c r="QUL30" s="672"/>
      <c r="QUM30" s="672"/>
      <c r="QUN30" s="672"/>
      <c r="QUO30" s="672"/>
      <c r="QUP30" s="672"/>
      <c r="QUQ30" s="672"/>
      <c r="QUR30" s="672"/>
      <c r="QUS30" s="672"/>
      <c r="QUT30" s="672"/>
      <c r="QUU30" s="672"/>
      <c r="QUV30" s="672"/>
      <c r="QUW30" s="672"/>
      <c r="QUX30" s="672"/>
      <c r="QUY30" s="672"/>
      <c r="QUZ30" s="672"/>
      <c r="QVA30" s="672"/>
      <c r="QVB30" s="672"/>
      <c r="QVC30" s="672"/>
      <c r="QVD30" s="672"/>
      <c r="QVE30" s="672"/>
      <c r="QVF30" s="672"/>
      <c r="QVG30" s="672"/>
      <c r="QVH30" s="672"/>
      <c r="QVI30" s="672"/>
      <c r="QVJ30" s="672"/>
      <c r="QVK30" s="672"/>
      <c r="QVL30" s="672"/>
      <c r="QVM30" s="672"/>
      <c r="QVN30" s="672"/>
      <c r="QVO30" s="672"/>
      <c r="QVP30" s="672"/>
      <c r="QVQ30" s="672"/>
      <c r="QVR30" s="672"/>
      <c r="QVS30" s="672"/>
      <c r="QVT30" s="672"/>
      <c r="QVU30" s="672"/>
      <c r="QVV30" s="672"/>
      <c r="QVW30" s="672"/>
      <c r="QVX30" s="672"/>
      <c r="QVY30" s="672"/>
      <c r="QVZ30" s="672"/>
      <c r="QWA30" s="672"/>
      <c r="QWB30" s="672"/>
      <c r="QWC30" s="672"/>
      <c r="QWD30" s="672"/>
      <c r="QWE30" s="672"/>
      <c r="QWF30" s="672"/>
      <c r="QWG30" s="672"/>
      <c r="QWH30" s="672"/>
      <c r="QWI30" s="672"/>
      <c r="QWJ30" s="672"/>
      <c r="QWK30" s="672"/>
      <c r="QWL30" s="672"/>
      <c r="QWM30" s="672"/>
      <c r="QWN30" s="672"/>
      <c r="QWO30" s="672"/>
      <c r="QWP30" s="672"/>
      <c r="QWQ30" s="672"/>
      <c r="QWR30" s="672"/>
      <c r="QWS30" s="672"/>
      <c r="QWT30" s="672"/>
      <c r="QWU30" s="672"/>
      <c r="QWV30" s="672"/>
      <c r="QWW30" s="672"/>
      <c r="QWX30" s="672"/>
      <c r="QWY30" s="672"/>
      <c r="QWZ30" s="672"/>
      <c r="QXA30" s="672"/>
      <c r="QXB30" s="672"/>
      <c r="QXC30" s="672"/>
      <c r="QXD30" s="672"/>
      <c r="QXE30" s="672"/>
      <c r="QXF30" s="672"/>
      <c r="QXG30" s="672"/>
      <c r="QXH30" s="672"/>
      <c r="QXI30" s="672"/>
      <c r="QXJ30" s="672"/>
      <c r="QXK30" s="672"/>
      <c r="QXL30" s="672"/>
      <c r="QXM30" s="672"/>
      <c r="QXN30" s="672"/>
      <c r="QXO30" s="672"/>
      <c r="QXP30" s="672"/>
      <c r="QXQ30" s="672"/>
      <c r="QXR30" s="672"/>
      <c r="QXS30" s="672"/>
      <c r="QXT30" s="672"/>
      <c r="QXU30" s="672"/>
      <c r="QXV30" s="672"/>
      <c r="QXW30" s="672"/>
      <c r="QXX30" s="672"/>
      <c r="QXY30" s="672"/>
      <c r="QXZ30" s="672"/>
      <c r="QYA30" s="672"/>
      <c r="QYB30" s="672"/>
      <c r="QYC30" s="672"/>
      <c r="QYD30" s="672"/>
      <c r="QYE30" s="672"/>
      <c r="QYF30" s="672"/>
      <c r="QYG30" s="672"/>
      <c r="QYH30" s="672"/>
      <c r="QYI30" s="672"/>
      <c r="QYJ30" s="672"/>
      <c r="QYK30" s="672"/>
      <c r="QYL30" s="672"/>
      <c r="QYM30" s="672"/>
      <c r="QYN30" s="672"/>
      <c r="QYO30" s="672"/>
      <c r="QYP30" s="672"/>
      <c r="QYQ30" s="672"/>
      <c r="QYR30" s="672"/>
      <c r="QYS30" s="672"/>
      <c r="QYT30" s="672"/>
      <c r="QYU30" s="672"/>
      <c r="QYV30" s="672"/>
      <c r="QYW30" s="672"/>
      <c r="QYX30" s="672"/>
      <c r="QYY30" s="672"/>
      <c r="QYZ30" s="672"/>
      <c r="QZA30" s="672"/>
      <c r="QZB30" s="672"/>
      <c r="QZC30" s="672"/>
      <c r="QZD30" s="672"/>
      <c r="QZE30" s="672"/>
      <c r="QZF30" s="672"/>
      <c r="QZG30" s="672"/>
      <c r="QZH30" s="672"/>
      <c r="QZI30" s="672"/>
      <c r="QZJ30" s="672"/>
      <c r="QZK30" s="672"/>
      <c r="QZL30" s="672"/>
      <c r="QZM30" s="672"/>
      <c r="QZN30" s="672"/>
      <c r="QZO30" s="672"/>
      <c r="QZP30" s="672"/>
      <c r="QZQ30" s="672"/>
      <c r="QZR30" s="672"/>
      <c r="QZS30" s="672"/>
      <c r="QZT30" s="672"/>
      <c r="QZU30" s="672"/>
      <c r="QZV30" s="672"/>
      <c r="QZW30" s="672"/>
      <c r="QZX30" s="672"/>
      <c r="QZY30" s="672"/>
      <c r="QZZ30" s="672"/>
      <c r="RAA30" s="672"/>
      <c r="RAB30" s="672"/>
      <c r="RAC30" s="672"/>
      <c r="RAD30" s="672"/>
      <c r="RAE30" s="672"/>
      <c r="RAF30" s="672"/>
      <c r="RAG30" s="672"/>
      <c r="RAH30" s="672"/>
      <c r="RAI30" s="672"/>
      <c r="RAJ30" s="672"/>
      <c r="RAK30" s="672"/>
      <c r="RAL30" s="672"/>
      <c r="RAM30" s="672"/>
      <c r="RAN30" s="672"/>
      <c r="RAO30" s="672"/>
      <c r="RAP30" s="672"/>
      <c r="RAQ30" s="672"/>
      <c r="RAR30" s="672"/>
      <c r="RAS30" s="672"/>
      <c r="RAT30" s="672"/>
      <c r="RAU30" s="672"/>
      <c r="RAV30" s="672"/>
      <c r="RAW30" s="672"/>
      <c r="RAX30" s="672"/>
      <c r="RAY30" s="672"/>
      <c r="RAZ30" s="672"/>
      <c r="RBA30" s="672"/>
      <c r="RBB30" s="672"/>
      <c r="RBC30" s="672"/>
      <c r="RBD30" s="672"/>
      <c r="RBE30" s="672"/>
      <c r="RBF30" s="672"/>
      <c r="RBG30" s="672"/>
      <c r="RBH30" s="672"/>
      <c r="RBI30" s="672"/>
      <c r="RBJ30" s="672"/>
      <c r="RBK30" s="672"/>
      <c r="RBL30" s="672"/>
      <c r="RBM30" s="672"/>
      <c r="RBN30" s="672"/>
      <c r="RBO30" s="672"/>
      <c r="RBP30" s="672"/>
      <c r="RBQ30" s="672"/>
      <c r="RBR30" s="672"/>
      <c r="RBS30" s="672"/>
      <c r="RBT30" s="672"/>
      <c r="RBU30" s="672"/>
      <c r="RBV30" s="672"/>
      <c r="RBW30" s="672"/>
      <c r="RBX30" s="672"/>
      <c r="RBY30" s="672"/>
      <c r="RBZ30" s="672"/>
      <c r="RCA30" s="672"/>
      <c r="RCB30" s="672"/>
      <c r="RCC30" s="672"/>
      <c r="RCD30" s="672"/>
      <c r="RCE30" s="672"/>
      <c r="RCF30" s="672"/>
      <c r="RCG30" s="672"/>
      <c r="RCH30" s="672"/>
      <c r="RCI30" s="672"/>
      <c r="RCJ30" s="672"/>
      <c r="RCK30" s="672"/>
      <c r="RCL30" s="672"/>
      <c r="RCM30" s="672"/>
      <c r="RCN30" s="672"/>
      <c r="RCO30" s="672"/>
      <c r="RCP30" s="672"/>
      <c r="RCQ30" s="672"/>
      <c r="RCR30" s="672"/>
      <c r="RCS30" s="672"/>
      <c r="RCT30" s="672"/>
      <c r="RCU30" s="672"/>
      <c r="RCV30" s="672"/>
      <c r="RCW30" s="672"/>
      <c r="RCX30" s="672"/>
      <c r="RCY30" s="672"/>
      <c r="RCZ30" s="672"/>
      <c r="RDA30" s="672"/>
      <c r="RDB30" s="672"/>
      <c r="RDC30" s="672"/>
      <c r="RDD30" s="672"/>
      <c r="RDE30" s="672"/>
      <c r="RDF30" s="672"/>
      <c r="RDG30" s="672"/>
      <c r="RDH30" s="672"/>
      <c r="RDI30" s="672"/>
      <c r="RDJ30" s="672"/>
      <c r="RDK30" s="672"/>
      <c r="RDL30" s="672"/>
      <c r="RDM30" s="672"/>
      <c r="RDN30" s="672"/>
      <c r="RDO30" s="672"/>
      <c r="RDP30" s="672"/>
      <c r="RDQ30" s="672"/>
      <c r="RDR30" s="672"/>
      <c r="RDS30" s="672"/>
      <c r="RDT30" s="672"/>
      <c r="RDU30" s="672"/>
      <c r="RDV30" s="672"/>
      <c r="RDW30" s="672"/>
      <c r="RDX30" s="672"/>
      <c r="RDY30" s="672"/>
      <c r="RDZ30" s="672"/>
      <c r="REA30" s="672"/>
      <c r="REB30" s="672"/>
      <c r="REC30" s="672"/>
      <c r="RED30" s="672"/>
      <c r="REE30" s="672"/>
      <c r="REF30" s="672"/>
      <c r="REG30" s="672"/>
      <c r="REH30" s="672"/>
      <c r="REI30" s="672"/>
      <c r="REJ30" s="672"/>
      <c r="REK30" s="672"/>
      <c r="REL30" s="672"/>
      <c r="REM30" s="672"/>
      <c r="REN30" s="672"/>
      <c r="REO30" s="672"/>
      <c r="REP30" s="672"/>
      <c r="REQ30" s="672"/>
      <c r="RER30" s="672"/>
      <c r="RES30" s="672"/>
      <c r="RET30" s="672"/>
      <c r="REU30" s="672"/>
      <c r="REV30" s="672"/>
      <c r="REW30" s="672"/>
      <c r="REX30" s="672"/>
      <c r="REY30" s="672"/>
      <c r="REZ30" s="672"/>
      <c r="RFA30" s="672"/>
      <c r="RFB30" s="672"/>
      <c r="RFC30" s="672"/>
      <c r="RFD30" s="672"/>
      <c r="RFE30" s="672"/>
      <c r="RFF30" s="672"/>
      <c r="RFG30" s="672"/>
      <c r="RFH30" s="672"/>
      <c r="RFI30" s="672"/>
      <c r="RFJ30" s="672"/>
      <c r="RFK30" s="672"/>
      <c r="RFL30" s="672"/>
      <c r="RFM30" s="672"/>
      <c r="RFN30" s="672"/>
      <c r="RFO30" s="672"/>
      <c r="RFP30" s="672"/>
      <c r="RFQ30" s="672"/>
      <c r="RFR30" s="672"/>
      <c r="RFS30" s="672"/>
      <c r="RFT30" s="672"/>
      <c r="RFU30" s="672"/>
      <c r="RFV30" s="672"/>
      <c r="RFW30" s="672"/>
      <c r="RFX30" s="672"/>
      <c r="RFY30" s="672"/>
      <c r="RFZ30" s="672"/>
      <c r="RGA30" s="672"/>
      <c r="RGB30" s="672"/>
      <c r="RGC30" s="672"/>
      <c r="RGD30" s="672"/>
      <c r="RGE30" s="672"/>
      <c r="RGF30" s="672"/>
      <c r="RGG30" s="672"/>
      <c r="RGH30" s="672"/>
      <c r="RGI30" s="672"/>
      <c r="RGJ30" s="672"/>
      <c r="RGK30" s="672"/>
      <c r="RGL30" s="672"/>
      <c r="RGM30" s="672"/>
      <c r="RGN30" s="672"/>
      <c r="RGO30" s="672"/>
      <c r="RGP30" s="672"/>
      <c r="RGQ30" s="672"/>
      <c r="RGR30" s="672"/>
      <c r="RGS30" s="672"/>
      <c r="RGT30" s="672"/>
      <c r="RGU30" s="672"/>
      <c r="RGV30" s="672"/>
      <c r="RGW30" s="672"/>
      <c r="RGX30" s="672"/>
      <c r="RGY30" s="672"/>
      <c r="RGZ30" s="672"/>
      <c r="RHA30" s="672"/>
      <c r="RHB30" s="672"/>
      <c r="RHC30" s="672"/>
      <c r="RHD30" s="672"/>
      <c r="RHE30" s="672"/>
      <c r="RHF30" s="672"/>
      <c r="RHG30" s="672"/>
      <c r="RHH30" s="672"/>
      <c r="RHI30" s="672"/>
      <c r="RHJ30" s="672"/>
      <c r="RHK30" s="672"/>
      <c r="RHL30" s="672"/>
      <c r="RHM30" s="672"/>
      <c r="RHN30" s="672"/>
      <c r="RHO30" s="672"/>
      <c r="RHP30" s="672"/>
      <c r="RHQ30" s="672"/>
      <c r="RHR30" s="672"/>
      <c r="RHS30" s="672"/>
      <c r="RHT30" s="672"/>
      <c r="RHU30" s="672"/>
      <c r="RHV30" s="672"/>
      <c r="RHW30" s="672"/>
      <c r="RHX30" s="672"/>
      <c r="RHY30" s="672"/>
      <c r="RHZ30" s="672"/>
      <c r="RIA30" s="672"/>
      <c r="RIB30" s="672"/>
      <c r="RIC30" s="672"/>
      <c r="RID30" s="672"/>
      <c r="RIE30" s="672"/>
      <c r="RIF30" s="672"/>
      <c r="RIG30" s="672"/>
      <c r="RIH30" s="672"/>
      <c r="RII30" s="672"/>
      <c r="RIJ30" s="672"/>
      <c r="RIK30" s="672"/>
      <c r="RIL30" s="672"/>
      <c r="RIM30" s="672"/>
      <c r="RIN30" s="672"/>
      <c r="RIO30" s="672"/>
      <c r="RIP30" s="672"/>
      <c r="RIQ30" s="672"/>
      <c r="RIR30" s="672"/>
      <c r="RIS30" s="672"/>
      <c r="RIT30" s="672"/>
      <c r="RIU30" s="672"/>
      <c r="RIV30" s="672"/>
      <c r="RIW30" s="672"/>
      <c r="RIX30" s="672"/>
      <c r="RIY30" s="672"/>
      <c r="RIZ30" s="672"/>
      <c r="RJA30" s="672"/>
      <c r="RJB30" s="672"/>
      <c r="RJC30" s="672"/>
      <c r="RJD30" s="672"/>
      <c r="RJE30" s="672"/>
      <c r="RJF30" s="672"/>
      <c r="RJG30" s="672"/>
      <c r="RJH30" s="672"/>
      <c r="RJI30" s="672"/>
      <c r="RJJ30" s="672"/>
      <c r="RJK30" s="672"/>
      <c r="RJL30" s="672"/>
      <c r="RJM30" s="672"/>
      <c r="RJN30" s="672"/>
      <c r="RJO30" s="672"/>
      <c r="RJP30" s="672"/>
      <c r="RJQ30" s="672"/>
      <c r="RJR30" s="672"/>
      <c r="RJS30" s="672"/>
      <c r="RJT30" s="672"/>
      <c r="RJU30" s="672"/>
      <c r="RJV30" s="672"/>
      <c r="RJW30" s="672"/>
      <c r="RJX30" s="672"/>
      <c r="RJY30" s="672"/>
      <c r="RJZ30" s="672"/>
      <c r="RKA30" s="672"/>
      <c r="RKB30" s="672"/>
      <c r="RKC30" s="672"/>
      <c r="RKD30" s="672"/>
      <c r="RKE30" s="672"/>
      <c r="RKF30" s="672"/>
      <c r="RKG30" s="672"/>
      <c r="RKH30" s="672"/>
      <c r="RKI30" s="672"/>
      <c r="RKJ30" s="672"/>
      <c r="RKK30" s="672"/>
      <c r="RKL30" s="672"/>
      <c r="RKM30" s="672"/>
      <c r="RKN30" s="672"/>
      <c r="RKO30" s="672"/>
      <c r="RKP30" s="672"/>
      <c r="RKQ30" s="672"/>
      <c r="RKR30" s="672"/>
      <c r="RKS30" s="672"/>
      <c r="RKT30" s="672"/>
      <c r="RKU30" s="672"/>
      <c r="RKV30" s="672"/>
      <c r="RKW30" s="672"/>
      <c r="RKX30" s="672"/>
      <c r="RKY30" s="672"/>
      <c r="RKZ30" s="672"/>
      <c r="RLA30" s="672"/>
      <c r="RLB30" s="672"/>
      <c r="RLC30" s="672"/>
      <c r="RLD30" s="672"/>
      <c r="RLE30" s="672"/>
      <c r="RLF30" s="672"/>
      <c r="RLG30" s="672"/>
      <c r="RLH30" s="672"/>
      <c r="RLI30" s="672"/>
      <c r="RLJ30" s="672"/>
      <c r="RLK30" s="672"/>
      <c r="RLL30" s="672"/>
      <c r="RLM30" s="672"/>
      <c r="RLN30" s="672"/>
      <c r="RLO30" s="672"/>
      <c r="RLP30" s="672"/>
      <c r="RLQ30" s="672"/>
      <c r="RLR30" s="672"/>
      <c r="RLS30" s="672"/>
      <c r="RLT30" s="672"/>
      <c r="RLU30" s="672"/>
      <c r="RLV30" s="672"/>
      <c r="RLW30" s="672"/>
      <c r="RLX30" s="672"/>
      <c r="RLY30" s="672"/>
      <c r="RLZ30" s="672"/>
      <c r="RMA30" s="672"/>
      <c r="RMB30" s="672"/>
      <c r="RMC30" s="672"/>
      <c r="RMD30" s="672"/>
      <c r="RME30" s="672"/>
      <c r="RMF30" s="672"/>
      <c r="RMG30" s="672"/>
      <c r="RMH30" s="672"/>
      <c r="RMI30" s="672"/>
      <c r="RMJ30" s="672"/>
      <c r="RMK30" s="672"/>
      <c r="RML30" s="672"/>
      <c r="RMM30" s="672"/>
      <c r="RMN30" s="672"/>
      <c r="RMO30" s="672"/>
      <c r="RMP30" s="672"/>
      <c r="RMQ30" s="672"/>
      <c r="RMR30" s="672"/>
      <c r="RMS30" s="672"/>
      <c r="RMT30" s="672"/>
      <c r="RMU30" s="672"/>
      <c r="RMV30" s="672"/>
      <c r="RMW30" s="672"/>
      <c r="RMX30" s="672"/>
      <c r="RMY30" s="672"/>
      <c r="RMZ30" s="672"/>
      <c r="RNA30" s="672"/>
      <c r="RNB30" s="672"/>
      <c r="RNC30" s="672"/>
      <c r="RND30" s="672"/>
      <c r="RNE30" s="672"/>
      <c r="RNF30" s="672"/>
      <c r="RNG30" s="672"/>
      <c r="RNH30" s="672"/>
      <c r="RNI30" s="672"/>
      <c r="RNJ30" s="672"/>
      <c r="RNK30" s="672"/>
      <c r="RNL30" s="672"/>
      <c r="RNM30" s="672"/>
      <c r="RNN30" s="672"/>
      <c r="RNO30" s="672"/>
      <c r="RNP30" s="672"/>
      <c r="RNQ30" s="672"/>
      <c r="RNR30" s="672"/>
      <c r="RNS30" s="672"/>
      <c r="RNT30" s="672"/>
      <c r="RNU30" s="672"/>
      <c r="RNV30" s="672"/>
      <c r="RNW30" s="672"/>
      <c r="RNX30" s="672"/>
      <c r="RNY30" s="672"/>
      <c r="RNZ30" s="672"/>
      <c r="ROA30" s="672"/>
      <c r="ROB30" s="672"/>
      <c r="ROC30" s="672"/>
      <c r="ROD30" s="672"/>
      <c r="ROE30" s="672"/>
      <c r="ROF30" s="672"/>
      <c r="ROG30" s="672"/>
      <c r="ROH30" s="672"/>
      <c r="ROI30" s="672"/>
      <c r="ROJ30" s="672"/>
      <c r="ROK30" s="672"/>
      <c r="ROL30" s="672"/>
      <c r="ROM30" s="672"/>
      <c r="RON30" s="672"/>
      <c r="ROO30" s="672"/>
      <c r="ROP30" s="672"/>
      <c r="ROQ30" s="672"/>
      <c r="ROR30" s="672"/>
      <c r="ROS30" s="672"/>
      <c r="ROT30" s="672"/>
      <c r="ROU30" s="672"/>
      <c r="ROV30" s="672"/>
      <c r="ROW30" s="672"/>
      <c r="ROX30" s="672"/>
      <c r="ROY30" s="672"/>
      <c r="ROZ30" s="672"/>
      <c r="RPA30" s="672"/>
      <c r="RPB30" s="672"/>
      <c r="RPC30" s="672"/>
      <c r="RPD30" s="672"/>
      <c r="RPE30" s="672"/>
      <c r="RPF30" s="672"/>
      <c r="RPG30" s="672"/>
      <c r="RPH30" s="672"/>
      <c r="RPI30" s="672"/>
      <c r="RPJ30" s="672"/>
      <c r="RPK30" s="672"/>
      <c r="RPL30" s="672"/>
      <c r="RPM30" s="672"/>
      <c r="RPN30" s="672"/>
      <c r="RPO30" s="672"/>
      <c r="RPP30" s="672"/>
      <c r="RPQ30" s="672"/>
      <c r="RPR30" s="672"/>
      <c r="RPS30" s="672"/>
      <c r="RPT30" s="672"/>
      <c r="RPU30" s="672"/>
      <c r="RPV30" s="672"/>
      <c r="RPW30" s="672"/>
      <c r="RPX30" s="672"/>
      <c r="RPY30" s="672"/>
      <c r="RPZ30" s="672"/>
      <c r="RQA30" s="672"/>
      <c r="RQB30" s="672"/>
      <c r="RQC30" s="672"/>
      <c r="RQD30" s="672"/>
      <c r="RQE30" s="672"/>
      <c r="RQF30" s="672"/>
      <c r="RQG30" s="672"/>
      <c r="RQH30" s="672"/>
      <c r="RQI30" s="672"/>
      <c r="RQJ30" s="672"/>
      <c r="RQK30" s="672"/>
      <c r="RQL30" s="672"/>
      <c r="RQM30" s="672"/>
      <c r="RQN30" s="672"/>
      <c r="RQO30" s="672"/>
      <c r="RQP30" s="672"/>
      <c r="RQQ30" s="672"/>
      <c r="RQR30" s="672"/>
      <c r="RQS30" s="672"/>
      <c r="RQT30" s="672"/>
      <c r="RQU30" s="672"/>
      <c r="RQV30" s="672"/>
      <c r="RQW30" s="672"/>
      <c r="RQX30" s="672"/>
      <c r="RQY30" s="672"/>
      <c r="RQZ30" s="672"/>
      <c r="RRA30" s="672"/>
      <c r="RRB30" s="672"/>
      <c r="RRC30" s="672"/>
      <c r="RRD30" s="672"/>
      <c r="RRE30" s="672"/>
      <c r="RRF30" s="672"/>
      <c r="RRG30" s="672"/>
      <c r="RRH30" s="672"/>
      <c r="RRI30" s="672"/>
      <c r="RRJ30" s="672"/>
      <c r="RRK30" s="672"/>
      <c r="RRL30" s="672"/>
      <c r="RRM30" s="672"/>
      <c r="RRN30" s="672"/>
      <c r="RRO30" s="672"/>
      <c r="RRP30" s="672"/>
      <c r="RRQ30" s="672"/>
      <c r="RRR30" s="672"/>
      <c r="RRS30" s="672"/>
      <c r="RRT30" s="672"/>
      <c r="RRU30" s="672"/>
      <c r="RRV30" s="672"/>
      <c r="RRW30" s="672"/>
      <c r="RRX30" s="672"/>
      <c r="RRY30" s="672"/>
      <c r="RRZ30" s="672"/>
      <c r="RSA30" s="672"/>
      <c r="RSB30" s="672"/>
      <c r="RSC30" s="672"/>
      <c r="RSD30" s="672"/>
      <c r="RSE30" s="672"/>
      <c r="RSF30" s="672"/>
      <c r="RSG30" s="672"/>
      <c r="RSH30" s="672"/>
      <c r="RSI30" s="672"/>
      <c r="RSJ30" s="672"/>
      <c r="RSK30" s="672"/>
      <c r="RSL30" s="672"/>
      <c r="RSM30" s="672"/>
      <c r="RSN30" s="672"/>
      <c r="RSO30" s="672"/>
      <c r="RSP30" s="672"/>
      <c r="RSQ30" s="672"/>
      <c r="RSR30" s="672"/>
      <c r="RSS30" s="672"/>
      <c r="RST30" s="672"/>
      <c r="RSU30" s="672"/>
      <c r="RSV30" s="672"/>
      <c r="RSW30" s="672"/>
      <c r="RSX30" s="672"/>
      <c r="RSY30" s="672"/>
      <c r="RSZ30" s="672"/>
      <c r="RTA30" s="672"/>
      <c r="RTB30" s="672"/>
      <c r="RTC30" s="672"/>
      <c r="RTD30" s="672"/>
      <c r="RTE30" s="672"/>
      <c r="RTF30" s="672"/>
      <c r="RTG30" s="672"/>
      <c r="RTH30" s="672"/>
      <c r="RTI30" s="672"/>
      <c r="RTJ30" s="672"/>
      <c r="RTK30" s="672"/>
      <c r="RTL30" s="672"/>
      <c r="RTM30" s="672"/>
      <c r="RTN30" s="672"/>
      <c r="RTO30" s="672"/>
      <c r="RTP30" s="672"/>
      <c r="RTQ30" s="672"/>
      <c r="RTR30" s="672"/>
      <c r="RTS30" s="672"/>
      <c r="RTT30" s="672"/>
      <c r="RTU30" s="672"/>
      <c r="RTV30" s="672"/>
      <c r="RTW30" s="672"/>
      <c r="RTX30" s="672"/>
      <c r="RTY30" s="672"/>
      <c r="RTZ30" s="672"/>
      <c r="RUA30" s="672"/>
      <c r="RUB30" s="672"/>
      <c r="RUC30" s="672"/>
      <c r="RUD30" s="672"/>
      <c r="RUE30" s="672"/>
      <c r="RUF30" s="672"/>
      <c r="RUG30" s="672"/>
      <c r="RUH30" s="672"/>
      <c r="RUI30" s="672"/>
      <c r="RUJ30" s="672"/>
      <c r="RUK30" s="672"/>
      <c r="RUL30" s="672"/>
      <c r="RUM30" s="672"/>
      <c r="RUN30" s="672"/>
      <c r="RUO30" s="672"/>
      <c r="RUP30" s="672"/>
      <c r="RUQ30" s="672"/>
      <c r="RUR30" s="672"/>
      <c r="RUS30" s="672"/>
      <c r="RUT30" s="672"/>
      <c r="RUU30" s="672"/>
      <c r="RUV30" s="672"/>
      <c r="RUW30" s="672"/>
      <c r="RUX30" s="672"/>
      <c r="RUY30" s="672"/>
      <c r="RUZ30" s="672"/>
      <c r="RVA30" s="672"/>
      <c r="RVB30" s="672"/>
      <c r="RVC30" s="672"/>
      <c r="RVD30" s="672"/>
      <c r="RVE30" s="672"/>
      <c r="RVF30" s="672"/>
      <c r="RVG30" s="672"/>
      <c r="RVH30" s="672"/>
      <c r="RVI30" s="672"/>
      <c r="RVJ30" s="672"/>
      <c r="RVK30" s="672"/>
      <c r="RVL30" s="672"/>
      <c r="RVM30" s="672"/>
      <c r="RVN30" s="672"/>
      <c r="RVO30" s="672"/>
      <c r="RVP30" s="672"/>
      <c r="RVQ30" s="672"/>
      <c r="RVR30" s="672"/>
      <c r="RVS30" s="672"/>
      <c r="RVT30" s="672"/>
      <c r="RVU30" s="672"/>
      <c r="RVV30" s="672"/>
      <c r="RVW30" s="672"/>
      <c r="RVX30" s="672"/>
      <c r="RVY30" s="672"/>
      <c r="RVZ30" s="672"/>
      <c r="RWA30" s="672"/>
      <c r="RWB30" s="672"/>
      <c r="RWC30" s="672"/>
      <c r="RWD30" s="672"/>
      <c r="RWE30" s="672"/>
      <c r="RWF30" s="672"/>
      <c r="RWG30" s="672"/>
      <c r="RWH30" s="672"/>
      <c r="RWI30" s="672"/>
      <c r="RWJ30" s="672"/>
      <c r="RWK30" s="672"/>
      <c r="RWL30" s="672"/>
      <c r="RWM30" s="672"/>
      <c r="RWN30" s="672"/>
      <c r="RWO30" s="672"/>
      <c r="RWP30" s="672"/>
      <c r="RWQ30" s="672"/>
      <c r="RWR30" s="672"/>
      <c r="RWS30" s="672"/>
      <c r="RWT30" s="672"/>
      <c r="RWU30" s="672"/>
      <c r="RWV30" s="672"/>
      <c r="RWW30" s="672"/>
      <c r="RWX30" s="672"/>
      <c r="RWY30" s="672"/>
      <c r="RWZ30" s="672"/>
      <c r="RXA30" s="672"/>
      <c r="RXB30" s="672"/>
      <c r="RXC30" s="672"/>
      <c r="RXD30" s="672"/>
      <c r="RXE30" s="672"/>
      <c r="RXF30" s="672"/>
      <c r="RXG30" s="672"/>
      <c r="RXH30" s="672"/>
      <c r="RXI30" s="672"/>
      <c r="RXJ30" s="672"/>
      <c r="RXK30" s="672"/>
      <c r="RXL30" s="672"/>
      <c r="RXM30" s="672"/>
      <c r="RXN30" s="672"/>
      <c r="RXO30" s="672"/>
      <c r="RXP30" s="672"/>
      <c r="RXQ30" s="672"/>
      <c r="RXR30" s="672"/>
      <c r="RXS30" s="672"/>
      <c r="RXT30" s="672"/>
      <c r="RXU30" s="672"/>
      <c r="RXV30" s="672"/>
      <c r="RXW30" s="672"/>
      <c r="RXX30" s="672"/>
      <c r="RXY30" s="672"/>
      <c r="RXZ30" s="672"/>
      <c r="RYA30" s="672"/>
      <c r="RYB30" s="672"/>
      <c r="RYC30" s="672"/>
      <c r="RYD30" s="672"/>
      <c r="RYE30" s="672"/>
      <c r="RYF30" s="672"/>
      <c r="RYG30" s="672"/>
      <c r="RYH30" s="672"/>
      <c r="RYI30" s="672"/>
      <c r="RYJ30" s="672"/>
      <c r="RYK30" s="672"/>
      <c r="RYL30" s="672"/>
      <c r="RYM30" s="672"/>
      <c r="RYN30" s="672"/>
      <c r="RYO30" s="672"/>
      <c r="RYP30" s="672"/>
      <c r="RYQ30" s="672"/>
      <c r="RYR30" s="672"/>
      <c r="RYS30" s="672"/>
      <c r="RYT30" s="672"/>
      <c r="RYU30" s="672"/>
      <c r="RYV30" s="672"/>
      <c r="RYW30" s="672"/>
      <c r="RYX30" s="672"/>
      <c r="RYY30" s="672"/>
      <c r="RYZ30" s="672"/>
      <c r="RZA30" s="672"/>
      <c r="RZB30" s="672"/>
      <c r="RZC30" s="672"/>
      <c r="RZD30" s="672"/>
      <c r="RZE30" s="672"/>
      <c r="RZF30" s="672"/>
      <c r="RZG30" s="672"/>
      <c r="RZH30" s="672"/>
      <c r="RZI30" s="672"/>
      <c r="RZJ30" s="672"/>
      <c r="RZK30" s="672"/>
      <c r="RZL30" s="672"/>
      <c r="RZM30" s="672"/>
      <c r="RZN30" s="672"/>
      <c r="RZO30" s="672"/>
      <c r="RZP30" s="672"/>
      <c r="RZQ30" s="672"/>
      <c r="RZR30" s="672"/>
      <c r="RZS30" s="672"/>
      <c r="RZT30" s="672"/>
      <c r="RZU30" s="672"/>
      <c r="RZV30" s="672"/>
      <c r="RZW30" s="672"/>
      <c r="RZX30" s="672"/>
      <c r="RZY30" s="672"/>
      <c r="RZZ30" s="672"/>
      <c r="SAA30" s="672"/>
      <c r="SAB30" s="672"/>
      <c r="SAC30" s="672"/>
      <c r="SAD30" s="672"/>
      <c r="SAE30" s="672"/>
      <c r="SAF30" s="672"/>
      <c r="SAG30" s="672"/>
      <c r="SAH30" s="672"/>
      <c r="SAI30" s="672"/>
      <c r="SAJ30" s="672"/>
      <c r="SAK30" s="672"/>
      <c r="SAL30" s="672"/>
      <c r="SAM30" s="672"/>
      <c r="SAN30" s="672"/>
      <c r="SAO30" s="672"/>
      <c r="SAP30" s="672"/>
      <c r="SAQ30" s="672"/>
      <c r="SAR30" s="672"/>
      <c r="SAS30" s="672"/>
      <c r="SAT30" s="672"/>
      <c r="SAU30" s="672"/>
      <c r="SAV30" s="672"/>
      <c r="SAW30" s="672"/>
      <c r="SAX30" s="672"/>
      <c r="SAY30" s="672"/>
      <c r="SAZ30" s="672"/>
      <c r="SBA30" s="672"/>
      <c r="SBB30" s="672"/>
      <c r="SBC30" s="672"/>
      <c r="SBD30" s="672"/>
      <c r="SBE30" s="672"/>
      <c r="SBF30" s="672"/>
      <c r="SBG30" s="672"/>
      <c r="SBH30" s="672"/>
      <c r="SBI30" s="672"/>
      <c r="SBJ30" s="672"/>
      <c r="SBK30" s="672"/>
      <c r="SBL30" s="672"/>
      <c r="SBM30" s="672"/>
      <c r="SBN30" s="672"/>
      <c r="SBO30" s="672"/>
      <c r="SBP30" s="672"/>
      <c r="SBQ30" s="672"/>
      <c r="SBR30" s="672"/>
      <c r="SBS30" s="672"/>
      <c r="SBT30" s="672"/>
      <c r="SBU30" s="672"/>
      <c r="SBV30" s="672"/>
      <c r="SBW30" s="672"/>
      <c r="SBX30" s="672"/>
      <c r="SBY30" s="672"/>
      <c r="SBZ30" s="672"/>
      <c r="SCA30" s="672"/>
      <c r="SCB30" s="672"/>
      <c r="SCC30" s="672"/>
      <c r="SCD30" s="672"/>
      <c r="SCE30" s="672"/>
      <c r="SCF30" s="672"/>
      <c r="SCG30" s="672"/>
      <c r="SCH30" s="672"/>
      <c r="SCI30" s="672"/>
      <c r="SCJ30" s="672"/>
      <c r="SCK30" s="672"/>
      <c r="SCL30" s="672"/>
      <c r="SCM30" s="672"/>
      <c r="SCN30" s="672"/>
      <c r="SCO30" s="672"/>
      <c r="SCP30" s="672"/>
      <c r="SCQ30" s="672"/>
      <c r="SCR30" s="672"/>
      <c r="SCS30" s="672"/>
      <c r="SCT30" s="672"/>
      <c r="SCU30" s="672"/>
      <c r="SCV30" s="672"/>
      <c r="SCW30" s="672"/>
      <c r="SCX30" s="672"/>
      <c r="SCY30" s="672"/>
      <c r="SCZ30" s="672"/>
      <c r="SDA30" s="672"/>
      <c r="SDB30" s="672"/>
      <c r="SDC30" s="672"/>
      <c r="SDD30" s="672"/>
      <c r="SDE30" s="672"/>
      <c r="SDF30" s="672"/>
      <c r="SDG30" s="672"/>
      <c r="SDH30" s="672"/>
      <c r="SDI30" s="672"/>
      <c r="SDJ30" s="672"/>
      <c r="SDK30" s="672"/>
      <c r="SDL30" s="672"/>
      <c r="SDM30" s="672"/>
      <c r="SDN30" s="672"/>
      <c r="SDO30" s="672"/>
      <c r="SDP30" s="672"/>
      <c r="SDQ30" s="672"/>
      <c r="SDR30" s="672"/>
      <c r="SDS30" s="672"/>
      <c r="SDT30" s="672"/>
      <c r="SDU30" s="672"/>
      <c r="SDV30" s="672"/>
      <c r="SDW30" s="672"/>
      <c r="SDX30" s="672"/>
      <c r="SDY30" s="672"/>
      <c r="SDZ30" s="672"/>
      <c r="SEA30" s="672"/>
      <c r="SEB30" s="672"/>
      <c r="SEC30" s="672"/>
      <c r="SED30" s="672"/>
      <c r="SEE30" s="672"/>
      <c r="SEF30" s="672"/>
      <c r="SEG30" s="672"/>
      <c r="SEH30" s="672"/>
      <c r="SEI30" s="672"/>
      <c r="SEJ30" s="672"/>
      <c r="SEK30" s="672"/>
      <c r="SEL30" s="672"/>
      <c r="SEM30" s="672"/>
      <c r="SEN30" s="672"/>
      <c r="SEO30" s="672"/>
      <c r="SEP30" s="672"/>
      <c r="SEQ30" s="672"/>
      <c r="SER30" s="672"/>
      <c r="SES30" s="672"/>
      <c r="SET30" s="672"/>
      <c r="SEU30" s="672"/>
      <c r="SEV30" s="672"/>
      <c r="SEW30" s="672"/>
      <c r="SEX30" s="672"/>
      <c r="SEY30" s="672"/>
      <c r="SEZ30" s="672"/>
      <c r="SFA30" s="672"/>
      <c r="SFB30" s="672"/>
      <c r="SFC30" s="672"/>
      <c r="SFD30" s="672"/>
      <c r="SFE30" s="672"/>
      <c r="SFF30" s="672"/>
      <c r="SFG30" s="672"/>
      <c r="SFH30" s="672"/>
      <c r="SFI30" s="672"/>
      <c r="SFJ30" s="672"/>
      <c r="SFK30" s="672"/>
      <c r="SFL30" s="672"/>
      <c r="SFM30" s="672"/>
      <c r="SFN30" s="672"/>
      <c r="SFO30" s="672"/>
      <c r="SFP30" s="672"/>
      <c r="SFQ30" s="672"/>
      <c r="SFR30" s="672"/>
      <c r="SFS30" s="672"/>
      <c r="SFT30" s="672"/>
      <c r="SFU30" s="672"/>
      <c r="SFV30" s="672"/>
      <c r="SFW30" s="672"/>
      <c r="SFX30" s="672"/>
      <c r="SFY30" s="672"/>
      <c r="SFZ30" s="672"/>
      <c r="SGA30" s="672"/>
      <c r="SGB30" s="672"/>
      <c r="SGC30" s="672"/>
      <c r="SGD30" s="672"/>
      <c r="SGE30" s="672"/>
      <c r="SGF30" s="672"/>
      <c r="SGG30" s="672"/>
      <c r="SGH30" s="672"/>
      <c r="SGI30" s="672"/>
      <c r="SGJ30" s="672"/>
      <c r="SGK30" s="672"/>
      <c r="SGL30" s="672"/>
      <c r="SGM30" s="672"/>
      <c r="SGN30" s="672"/>
      <c r="SGO30" s="672"/>
      <c r="SGP30" s="672"/>
      <c r="SGQ30" s="672"/>
      <c r="SGR30" s="672"/>
      <c r="SGS30" s="672"/>
      <c r="SGT30" s="672"/>
      <c r="SGU30" s="672"/>
      <c r="SGV30" s="672"/>
      <c r="SGW30" s="672"/>
      <c r="SGX30" s="672"/>
      <c r="SGY30" s="672"/>
      <c r="SGZ30" s="672"/>
      <c r="SHA30" s="672"/>
      <c r="SHB30" s="672"/>
      <c r="SHC30" s="672"/>
      <c r="SHD30" s="672"/>
      <c r="SHE30" s="672"/>
      <c r="SHF30" s="672"/>
      <c r="SHG30" s="672"/>
      <c r="SHH30" s="672"/>
      <c r="SHI30" s="672"/>
      <c r="SHJ30" s="672"/>
      <c r="SHK30" s="672"/>
      <c r="SHL30" s="672"/>
      <c r="SHM30" s="672"/>
      <c r="SHN30" s="672"/>
      <c r="SHO30" s="672"/>
      <c r="SHP30" s="672"/>
      <c r="SHQ30" s="672"/>
      <c r="SHR30" s="672"/>
      <c r="SHS30" s="672"/>
      <c r="SHT30" s="672"/>
      <c r="SHU30" s="672"/>
      <c r="SHV30" s="672"/>
      <c r="SHW30" s="672"/>
      <c r="SHX30" s="672"/>
      <c r="SHY30" s="672"/>
      <c r="SHZ30" s="672"/>
      <c r="SIA30" s="672"/>
      <c r="SIB30" s="672"/>
      <c r="SIC30" s="672"/>
      <c r="SID30" s="672"/>
      <c r="SIE30" s="672"/>
      <c r="SIF30" s="672"/>
      <c r="SIG30" s="672"/>
      <c r="SIH30" s="672"/>
      <c r="SII30" s="672"/>
      <c r="SIJ30" s="672"/>
      <c r="SIK30" s="672"/>
      <c r="SIL30" s="672"/>
      <c r="SIM30" s="672"/>
      <c r="SIN30" s="672"/>
      <c r="SIO30" s="672"/>
      <c r="SIP30" s="672"/>
      <c r="SIQ30" s="672"/>
      <c r="SIR30" s="672"/>
      <c r="SIS30" s="672"/>
      <c r="SIT30" s="672"/>
      <c r="SIU30" s="672"/>
      <c r="SIV30" s="672"/>
      <c r="SIW30" s="672"/>
      <c r="SIX30" s="672"/>
      <c r="SIY30" s="672"/>
      <c r="SIZ30" s="672"/>
      <c r="SJA30" s="672"/>
      <c r="SJB30" s="672"/>
      <c r="SJC30" s="672"/>
      <c r="SJD30" s="672"/>
      <c r="SJE30" s="672"/>
      <c r="SJF30" s="672"/>
      <c r="SJG30" s="672"/>
      <c r="SJH30" s="672"/>
      <c r="SJI30" s="672"/>
      <c r="SJJ30" s="672"/>
      <c r="SJK30" s="672"/>
      <c r="SJL30" s="672"/>
      <c r="SJM30" s="672"/>
      <c r="SJN30" s="672"/>
      <c r="SJO30" s="672"/>
      <c r="SJP30" s="672"/>
      <c r="SJQ30" s="672"/>
      <c r="SJR30" s="672"/>
      <c r="SJS30" s="672"/>
      <c r="SJT30" s="672"/>
      <c r="SJU30" s="672"/>
      <c r="SJV30" s="672"/>
      <c r="SJW30" s="672"/>
      <c r="SJX30" s="672"/>
      <c r="SJY30" s="672"/>
      <c r="SJZ30" s="672"/>
      <c r="SKA30" s="672"/>
      <c r="SKB30" s="672"/>
      <c r="SKC30" s="672"/>
      <c r="SKD30" s="672"/>
      <c r="SKE30" s="672"/>
      <c r="SKF30" s="672"/>
      <c r="SKG30" s="672"/>
      <c r="SKH30" s="672"/>
      <c r="SKI30" s="672"/>
      <c r="SKJ30" s="672"/>
      <c r="SKK30" s="672"/>
      <c r="SKL30" s="672"/>
      <c r="SKM30" s="672"/>
      <c r="SKN30" s="672"/>
      <c r="SKO30" s="672"/>
      <c r="SKP30" s="672"/>
      <c r="SKQ30" s="672"/>
      <c r="SKR30" s="672"/>
      <c r="SKS30" s="672"/>
      <c r="SKT30" s="672"/>
      <c r="SKU30" s="672"/>
      <c r="SKV30" s="672"/>
      <c r="SKW30" s="672"/>
      <c r="SKX30" s="672"/>
      <c r="SKY30" s="672"/>
      <c r="SKZ30" s="672"/>
      <c r="SLA30" s="672"/>
      <c r="SLB30" s="672"/>
      <c r="SLC30" s="672"/>
      <c r="SLD30" s="672"/>
      <c r="SLE30" s="672"/>
      <c r="SLF30" s="672"/>
      <c r="SLG30" s="672"/>
      <c r="SLH30" s="672"/>
      <c r="SLI30" s="672"/>
      <c r="SLJ30" s="672"/>
      <c r="SLK30" s="672"/>
      <c r="SLL30" s="672"/>
      <c r="SLM30" s="672"/>
      <c r="SLN30" s="672"/>
      <c r="SLO30" s="672"/>
      <c r="SLP30" s="672"/>
      <c r="SLQ30" s="672"/>
      <c r="SLR30" s="672"/>
      <c r="SLS30" s="672"/>
      <c r="SLT30" s="672"/>
      <c r="SLU30" s="672"/>
      <c r="SLV30" s="672"/>
      <c r="SLW30" s="672"/>
      <c r="SLX30" s="672"/>
      <c r="SLY30" s="672"/>
      <c r="SLZ30" s="672"/>
      <c r="SMA30" s="672"/>
      <c r="SMB30" s="672"/>
      <c r="SMC30" s="672"/>
      <c r="SMD30" s="672"/>
      <c r="SME30" s="672"/>
      <c r="SMF30" s="672"/>
      <c r="SMG30" s="672"/>
      <c r="SMH30" s="672"/>
      <c r="SMI30" s="672"/>
      <c r="SMJ30" s="672"/>
      <c r="SMK30" s="672"/>
      <c r="SML30" s="672"/>
      <c r="SMM30" s="672"/>
      <c r="SMN30" s="672"/>
      <c r="SMO30" s="672"/>
      <c r="SMP30" s="672"/>
      <c r="SMQ30" s="672"/>
      <c r="SMR30" s="672"/>
      <c r="SMS30" s="672"/>
      <c r="SMT30" s="672"/>
      <c r="SMU30" s="672"/>
      <c r="SMV30" s="672"/>
      <c r="SMW30" s="672"/>
      <c r="SMX30" s="672"/>
      <c r="SMY30" s="672"/>
      <c r="SMZ30" s="672"/>
      <c r="SNA30" s="672"/>
      <c r="SNB30" s="672"/>
      <c r="SNC30" s="672"/>
      <c r="SND30" s="672"/>
      <c r="SNE30" s="672"/>
      <c r="SNF30" s="672"/>
      <c r="SNG30" s="672"/>
      <c r="SNH30" s="672"/>
      <c r="SNI30" s="672"/>
      <c r="SNJ30" s="672"/>
      <c r="SNK30" s="672"/>
      <c r="SNL30" s="672"/>
      <c r="SNM30" s="672"/>
      <c r="SNN30" s="672"/>
      <c r="SNO30" s="672"/>
      <c r="SNP30" s="672"/>
      <c r="SNQ30" s="672"/>
      <c r="SNR30" s="672"/>
      <c r="SNS30" s="672"/>
      <c r="SNT30" s="672"/>
      <c r="SNU30" s="672"/>
      <c r="SNV30" s="672"/>
      <c r="SNW30" s="672"/>
      <c r="SNX30" s="672"/>
      <c r="SNY30" s="672"/>
      <c r="SNZ30" s="672"/>
      <c r="SOA30" s="672"/>
      <c r="SOB30" s="672"/>
      <c r="SOC30" s="672"/>
      <c r="SOD30" s="672"/>
      <c r="SOE30" s="672"/>
      <c r="SOF30" s="672"/>
      <c r="SOG30" s="672"/>
      <c r="SOH30" s="672"/>
      <c r="SOI30" s="672"/>
      <c r="SOJ30" s="672"/>
      <c r="SOK30" s="672"/>
      <c r="SOL30" s="672"/>
      <c r="SOM30" s="672"/>
      <c r="SON30" s="672"/>
      <c r="SOO30" s="672"/>
      <c r="SOP30" s="672"/>
      <c r="SOQ30" s="672"/>
      <c r="SOR30" s="672"/>
      <c r="SOS30" s="672"/>
      <c r="SOT30" s="672"/>
      <c r="SOU30" s="672"/>
      <c r="SOV30" s="672"/>
      <c r="SOW30" s="672"/>
      <c r="SOX30" s="672"/>
      <c r="SOY30" s="672"/>
      <c r="SOZ30" s="672"/>
      <c r="SPA30" s="672"/>
      <c r="SPB30" s="672"/>
      <c r="SPC30" s="672"/>
      <c r="SPD30" s="672"/>
      <c r="SPE30" s="672"/>
      <c r="SPF30" s="672"/>
      <c r="SPG30" s="672"/>
      <c r="SPH30" s="672"/>
      <c r="SPI30" s="672"/>
      <c r="SPJ30" s="672"/>
      <c r="SPK30" s="672"/>
      <c r="SPL30" s="672"/>
      <c r="SPM30" s="672"/>
      <c r="SPN30" s="672"/>
      <c r="SPO30" s="672"/>
      <c r="SPP30" s="672"/>
      <c r="SPQ30" s="672"/>
      <c r="SPR30" s="672"/>
      <c r="SPS30" s="672"/>
      <c r="SPT30" s="672"/>
      <c r="SPU30" s="672"/>
      <c r="SPV30" s="672"/>
      <c r="SPW30" s="672"/>
      <c r="SPX30" s="672"/>
      <c r="SPY30" s="672"/>
      <c r="SPZ30" s="672"/>
      <c r="SQA30" s="672"/>
      <c r="SQB30" s="672"/>
      <c r="SQC30" s="672"/>
      <c r="SQD30" s="672"/>
      <c r="SQE30" s="672"/>
      <c r="SQF30" s="672"/>
      <c r="SQG30" s="672"/>
      <c r="SQH30" s="672"/>
      <c r="SQI30" s="672"/>
      <c r="SQJ30" s="672"/>
      <c r="SQK30" s="672"/>
      <c r="SQL30" s="672"/>
      <c r="SQM30" s="672"/>
      <c r="SQN30" s="672"/>
      <c r="SQO30" s="672"/>
      <c r="SQP30" s="672"/>
      <c r="SQQ30" s="672"/>
      <c r="SQR30" s="672"/>
      <c r="SQS30" s="672"/>
      <c r="SQT30" s="672"/>
      <c r="SQU30" s="672"/>
      <c r="SQV30" s="672"/>
      <c r="SQW30" s="672"/>
      <c r="SQX30" s="672"/>
      <c r="SQY30" s="672"/>
      <c r="SQZ30" s="672"/>
      <c r="SRA30" s="672"/>
      <c r="SRB30" s="672"/>
      <c r="SRC30" s="672"/>
      <c r="SRD30" s="672"/>
      <c r="SRE30" s="672"/>
      <c r="SRF30" s="672"/>
      <c r="SRG30" s="672"/>
      <c r="SRH30" s="672"/>
      <c r="SRI30" s="672"/>
      <c r="SRJ30" s="672"/>
      <c r="SRK30" s="672"/>
      <c r="SRL30" s="672"/>
      <c r="SRM30" s="672"/>
      <c r="SRN30" s="672"/>
      <c r="SRO30" s="672"/>
      <c r="SRP30" s="672"/>
      <c r="SRQ30" s="672"/>
      <c r="SRR30" s="672"/>
      <c r="SRS30" s="672"/>
      <c r="SRT30" s="672"/>
      <c r="SRU30" s="672"/>
      <c r="SRV30" s="672"/>
      <c r="SRW30" s="672"/>
      <c r="SRX30" s="672"/>
      <c r="SRY30" s="672"/>
      <c r="SRZ30" s="672"/>
      <c r="SSA30" s="672"/>
      <c r="SSB30" s="672"/>
      <c r="SSC30" s="672"/>
      <c r="SSD30" s="672"/>
      <c r="SSE30" s="672"/>
      <c r="SSF30" s="672"/>
      <c r="SSG30" s="672"/>
      <c r="SSH30" s="672"/>
      <c r="SSI30" s="672"/>
      <c r="SSJ30" s="672"/>
      <c r="SSK30" s="672"/>
      <c r="SSL30" s="672"/>
      <c r="SSM30" s="672"/>
      <c r="SSN30" s="672"/>
      <c r="SSO30" s="672"/>
      <c r="SSP30" s="672"/>
      <c r="SSQ30" s="672"/>
      <c r="SSR30" s="672"/>
      <c r="SSS30" s="672"/>
      <c r="SST30" s="672"/>
      <c r="SSU30" s="672"/>
      <c r="SSV30" s="672"/>
      <c r="SSW30" s="672"/>
      <c r="SSX30" s="672"/>
      <c r="SSY30" s="672"/>
      <c r="SSZ30" s="672"/>
      <c r="STA30" s="672"/>
      <c r="STB30" s="672"/>
      <c r="STC30" s="672"/>
      <c r="STD30" s="672"/>
      <c r="STE30" s="672"/>
      <c r="STF30" s="672"/>
      <c r="STG30" s="672"/>
      <c r="STH30" s="672"/>
      <c r="STI30" s="672"/>
      <c r="STJ30" s="672"/>
      <c r="STK30" s="672"/>
      <c r="STL30" s="672"/>
      <c r="STM30" s="672"/>
      <c r="STN30" s="672"/>
      <c r="STO30" s="672"/>
      <c r="STP30" s="672"/>
      <c r="STQ30" s="672"/>
      <c r="STR30" s="672"/>
      <c r="STS30" s="672"/>
      <c r="STT30" s="672"/>
      <c r="STU30" s="672"/>
      <c r="STV30" s="672"/>
      <c r="STW30" s="672"/>
      <c r="STX30" s="672"/>
      <c r="STY30" s="672"/>
      <c r="STZ30" s="672"/>
      <c r="SUA30" s="672"/>
      <c r="SUB30" s="672"/>
      <c r="SUC30" s="672"/>
      <c r="SUD30" s="672"/>
      <c r="SUE30" s="672"/>
      <c r="SUF30" s="672"/>
      <c r="SUG30" s="672"/>
      <c r="SUH30" s="672"/>
      <c r="SUI30" s="672"/>
      <c r="SUJ30" s="672"/>
      <c r="SUK30" s="672"/>
      <c r="SUL30" s="672"/>
      <c r="SUM30" s="672"/>
      <c r="SUN30" s="672"/>
      <c r="SUO30" s="672"/>
      <c r="SUP30" s="672"/>
      <c r="SUQ30" s="672"/>
      <c r="SUR30" s="672"/>
      <c r="SUS30" s="672"/>
      <c r="SUT30" s="672"/>
      <c r="SUU30" s="672"/>
      <c r="SUV30" s="672"/>
      <c r="SUW30" s="672"/>
      <c r="SUX30" s="672"/>
      <c r="SUY30" s="672"/>
      <c r="SUZ30" s="672"/>
      <c r="SVA30" s="672"/>
      <c r="SVB30" s="672"/>
      <c r="SVC30" s="672"/>
      <c r="SVD30" s="672"/>
      <c r="SVE30" s="672"/>
      <c r="SVF30" s="672"/>
      <c r="SVG30" s="672"/>
      <c r="SVH30" s="672"/>
      <c r="SVI30" s="672"/>
      <c r="SVJ30" s="672"/>
      <c r="SVK30" s="672"/>
      <c r="SVL30" s="672"/>
      <c r="SVM30" s="672"/>
      <c r="SVN30" s="672"/>
      <c r="SVO30" s="672"/>
      <c r="SVP30" s="672"/>
      <c r="SVQ30" s="672"/>
      <c r="SVR30" s="672"/>
      <c r="SVS30" s="672"/>
      <c r="SVT30" s="672"/>
      <c r="SVU30" s="672"/>
      <c r="SVV30" s="672"/>
      <c r="SVW30" s="672"/>
      <c r="SVX30" s="672"/>
      <c r="SVY30" s="672"/>
      <c r="SVZ30" s="672"/>
      <c r="SWA30" s="672"/>
      <c r="SWB30" s="672"/>
      <c r="SWC30" s="672"/>
      <c r="SWD30" s="672"/>
      <c r="SWE30" s="672"/>
      <c r="SWF30" s="672"/>
      <c r="SWG30" s="672"/>
      <c r="SWH30" s="672"/>
      <c r="SWI30" s="672"/>
      <c r="SWJ30" s="672"/>
      <c r="SWK30" s="672"/>
      <c r="SWL30" s="672"/>
      <c r="SWM30" s="672"/>
      <c r="SWN30" s="672"/>
      <c r="SWO30" s="672"/>
      <c r="SWP30" s="672"/>
      <c r="SWQ30" s="672"/>
      <c r="SWR30" s="672"/>
      <c r="SWS30" s="672"/>
      <c r="SWT30" s="672"/>
      <c r="SWU30" s="672"/>
      <c r="SWV30" s="672"/>
      <c r="SWW30" s="672"/>
      <c r="SWX30" s="672"/>
      <c r="SWY30" s="672"/>
      <c r="SWZ30" s="672"/>
      <c r="SXA30" s="672"/>
      <c r="SXB30" s="672"/>
      <c r="SXC30" s="672"/>
      <c r="SXD30" s="672"/>
      <c r="SXE30" s="672"/>
      <c r="SXF30" s="672"/>
      <c r="SXG30" s="672"/>
      <c r="SXH30" s="672"/>
      <c r="SXI30" s="672"/>
      <c r="SXJ30" s="672"/>
      <c r="SXK30" s="672"/>
      <c r="SXL30" s="672"/>
      <c r="SXM30" s="672"/>
      <c r="SXN30" s="672"/>
      <c r="SXO30" s="672"/>
      <c r="SXP30" s="672"/>
      <c r="SXQ30" s="672"/>
      <c r="SXR30" s="672"/>
      <c r="SXS30" s="672"/>
      <c r="SXT30" s="672"/>
      <c r="SXU30" s="672"/>
      <c r="SXV30" s="672"/>
      <c r="SXW30" s="672"/>
      <c r="SXX30" s="672"/>
      <c r="SXY30" s="672"/>
      <c r="SXZ30" s="672"/>
      <c r="SYA30" s="672"/>
      <c r="SYB30" s="672"/>
      <c r="SYC30" s="672"/>
      <c r="SYD30" s="672"/>
      <c r="SYE30" s="672"/>
      <c r="SYF30" s="672"/>
      <c r="SYG30" s="672"/>
      <c r="SYH30" s="672"/>
      <c r="SYI30" s="672"/>
      <c r="SYJ30" s="672"/>
      <c r="SYK30" s="672"/>
      <c r="SYL30" s="672"/>
      <c r="SYM30" s="672"/>
      <c r="SYN30" s="672"/>
      <c r="SYO30" s="672"/>
      <c r="SYP30" s="672"/>
      <c r="SYQ30" s="672"/>
      <c r="SYR30" s="672"/>
      <c r="SYS30" s="672"/>
      <c r="SYT30" s="672"/>
      <c r="SYU30" s="672"/>
      <c r="SYV30" s="672"/>
      <c r="SYW30" s="672"/>
      <c r="SYX30" s="672"/>
      <c r="SYY30" s="672"/>
      <c r="SYZ30" s="672"/>
      <c r="SZA30" s="672"/>
      <c r="SZB30" s="672"/>
      <c r="SZC30" s="672"/>
      <c r="SZD30" s="672"/>
      <c r="SZE30" s="672"/>
      <c r="SZF30" s="672"/>
      <c r="SZG30" s="672"/>
      <c r="SZH30" s="672"/>
      <c r="SZI30" s="672"/>
      <c r="SZJ30" s="672"/>
      <c r="SZK30" s="672"/>
      <c r="SZL30" s="672"/>
      <c r="SZM30" s="672"/>
      <c r="SZN30" s="672"/>
      <c r="SZO30" s="672"/>
      <c r="SZP30" s="672"/>
      <c r="SZQ30" s="672"/>
      <c r="SZR30" s="672"/>
      <c r="SZS30" s="672"/>
      <c r="SZT30" s="672"/>
      <c r="SZU30" s="672"/>
      <c r="SZV30" s="672"/>
      <c r="SZW30" s="672"/>
      <c r="SZX30" s="672"/>
      <c r="SZY30" s="672"/>
      <c r="SZZ30" s="672"/>
      <c r="TAA30" s="672"/>
      <c r="TAB30" s="672"/>
      <c r="TAC30" s="672"/>
      <c r="TAD30" s="672"/>
      <c r="TAE30" s="672"/>
      <c r="TAF30" s="672"/>
      <c r="TAG30" s="672"/>
      <c r="TAH30" s="672"/>
      <c r="TAI30" s="672"/>
      <c r="TAJ30" s="672"/>
      <c r="TAK30" s="672"/>
      <c r="TAL30" s="672"/>
      <c r="TAM30" s="672"/>
      <c r="TAN30" s="672"/>
      <c r="TAO30" s="672"/>
      <c r="TAP30" s="672"/>
      <c r="TAQ30" s="672"/>
      <c r="TAR30" s="672"/>
      <c r="TAS30" s="672"/>
      <c r="TAT30" s="672"/>
      <c r="TAU30" s="672"/>
      <c r="TAV30" s="672"/>
      <c r="TAW30" s="672"/>
      <c r="TAX30" s="672"/>
      <c r="TAY30" s="672"/>
      <c r="TAZ30" s="672"/>
      <c r="TBA30" s="672"/>
      <c r="TBB30" s="672"/>
      <c r="TBC30" s="672"/>
      <c r="TBD30" s="672"/>
      <c r="TBE30" s="672"/>
      <c r="TBF30" s="672"/>
      <c r="TBG30" s="672"/>
      <c r="TBH30" s="672"/>
      <c r="TBI30" s="672"/>
      <c r="TBJ30" s="672"/>
      <c r="TBK30" s="672"/>
      <c r="TBL30" s="672"/>
      <c r="TBM30" s="672"/>
      <c r="TBN30" s="672"/>
      <c r="TBO30" s="672"/>
      <c r="TBP30" s="672"/>
      <c r="TBQ30" s="672"/>
      <c r="TBR30" s="672"/>
      <c r="TBS30" s="672"/>
      <c r="TBT30" s="672"/>
      <c r="TBU30" s="672"/>
      <c r="TBV30" s="672"/>
      <c r="TBW30" s="672"/>
      <c r="TBX30" s="672"/>
      <c r="TBY30" s="672"/>
      <c r="TBZ30" s="672"/>
      <c r="TCA30" s="672"/>
      <c r="TCB30" s="672"/>
      <c r="TCC30" s="672"/>
      <c r="TCD30" s="672"/>
      <c r="TCE30" s="672"/>
      <c r="TCF30" s="672"/>
      <c r="TCG30" s="672"/>
      <c r="TCH30" s="672"/>
      <c r="TCI30" s="672"/>
      <c r="TCJ30" s="672"/>
      <c r="TCK30" s="672"/>
      <c r="TCL30" s="672"/>
      <c r="TCM30" s="672"/>
      <c r="TCN30" s="672"/>
      <c r="TCO30" s="672"/>
      <c r="TCP30" s="672"/>
      <c r="TCQ30" s="672"/>
      <c r="TCR30" s="672"/>
      <c r="TCS30" s="672"/>
      <c r="TCT30" s="672"/>
      <c r="TCU30" s="672"/>
      <c r="TCV30" s="672"/>
      <c r="TCW30" s="672"/>
      <c r="TCX30" s="672"/>
      <c r="TCY30" s="672"/>
      <c r="TCZ30" s="672"/>
      <c r="TDA30" s="672"/>
      <c r="TDB30" s="672"/>
      <c r="TDC30" s="672"/>
      <c r="TDD30" s="672"/>
      <c r="TDE30" s="672"/>
      <c r="TDF30" s="672"/>
      <c r="TDG30" s="672"/>
      <c r="TDH30" s="672"/>
      <c r="TDI30" s="672"/>
      <c r="TDJ30" s="672"/>
      <c r="TDK30" s="672"/>
      <c r="TDL30" s="672"/>
      <c r="TDM30" s="672"/>
      <c r="TDN30" s="672"/>
      <c r="TDO30" s="672"/>
      <c r="TDP30" s="672"/>
      <c r="TDQ30" s="672"/>
      <c r="TDR30" s="672"/>
      <c r="TDS30" s="672"/>
      <c r="TDT30" s="672"/>
      <c r="TDU30" s="672"/>
      <c r="TDV30" s="672"/>
      <c r="TDW30" s="672"/>
      <c r="TDX30" s="672"/>
      <c r="TDY30" s="672"/>
      <c r="TDZ30" s="672"/>
      <c r="TEA30" s="672"/>
      <c r="TEB30" s="672"/>
      <c r="TEC30" s="672"/>
      <c r="TED30" s="672"/>
      <c r="TEE30" s="672"/>
      <c r="TEF30" s="672"/>
      <c r="TEG30" s="672"/>
      <c r="TEH30" s="672"/>
      <c r="TEI30" s="672"/>
      <c r="TEJ30" s="672"/>
      <c r="TEK30" s="672"/>
      <c r="TEL30" s="672"/>
      <c r="TEM30" s="672"/>
      <c r="TEN30" s="672"/>
      <c r="TEO30" s="672"/>
      <c r="TEP30" s="672"/>
      <c r="TEQ30" s="672"/>
      <c r="TER30" s="672"/>
      <c r="TES30" s="672"/>
      <c r="TET30" s="672"/>
      <c r="TEU30" s="672"/>
      <c r="TEV30" s="672"/>
      <c r="TEW30" s="672"/>
      <c r="TEX30" s="672"/>
      <c r="TEY30" s="672"/>
      <c r="TEZ30" s="672"/>
      <c r="TFA30" s="672"/>
      <c r="TFB30" s="672"/>
      <c r="TFC30" s="672"/>
      <c r="TFD30" s="672"/>
      <c r="TFE30" s="672"/>
      <c r="TFF30" s="672"/>
      <c r="TFG30" s="672"/>
      <c r="TFH30" s="672"/>
      <c r="TFI30" s="672"/>
      <c r="TFJ30" s="672"/>
      <c r="TFK30" s="672"/>
      <c r="TFL30" s="672"/>
      <c r="TFM30" s="672"/>
      <c r="TFN30" s="672"/>
      <c r="TFO30" s="672"/>
      <c r="TFP30" s="672"/>
      <c r="TFQ30" s="672"/>
      <c r="TFR30" s="672"/>
      <c r="TFS30" s="672"/>
      <c r="TFT30" s="672"/>
      <c r="TFU30" s="672"/>
      <c r="TFV30" s="672"/>
      <c r="TFW30" s="672"/>
      <c r="TFX30" s="672"/>
      <c r="TFY30" s="672"/>
      <c r="TFZ30" s="672"/>
      <c r="TGA30" s="672"/>
      <c r="TGB30" s="672"/>
      <c r="TGC30" s="672"/>
      <c r="TGD30" s="672"/>
      <c r="TGE30" s="672"/>
      <c r="TGF30" s="672"/>
      <c r="TGG30" s="672"/>
      <c r="TGH30" s="672"/>
      <c r="TGI30" s="672"/>
      <c r="TGJ30" s="672"/>
      <c r="TGK30" s="672"/>
      <c r="TGL30" s="672"/>
      <c r="TGM30" s="672"/>
      <c r="TGN30" s="672"/>
      <c r="TGO30" s="672"/>
      <c r="TGP30" s="672"/>
      <c r="TGQ30" s="672"/>
      <c r="TGR30" s="672"/>
      <c r="TGS30" s="672"/>
      <c r="TGT30" s="672"/>
      <c r="TGU30" s="672"/>
      <c r="TGV30" s="672"/>
      <c r="TGW30" s="672"/>
      <c r="TGX30" s="672"/>
      <c r="TGY30" s="672"/>
      <c r="TGZ30" s="672"/>
      <c r="THA30" s="672"/>
      <c r="THB30" s="672"/>
      <c r="THC30" s="672"/>
      <c r="THD30" s="672"/>
      <c r="THE30" s="672"/>
      <c r="THF30" s="672"/>
      <c r="THG30" s="672"/>
      <c r="THH30" s="672"/>
      <c r="THI30" s="672"/>
      <c r="THJ30" s="672"/>
      <c r="THK30" s="672"/>
      <c r="THL30" s="672"/>
      <c r="THM30" s="672"/>
      <c r="THN30" s="672"/>
      <c r="THO30" s="672"/>
      <c r="THP30" s="672"/>
      <c r="THQ30" s="672"/>
      <c r="THR30" s="672"/>
      <c r="THS30" s="672"/>
      <c r="THT30" s="672"/>
      <c r="THU30" s="672"/>
      <c r="THV30" s="672"/>
      <c r="THW30" s="672"/>
      <c r="THX30" s="672"/>
      <c r="THY30" s="672"/>
      <c r="THZ30" s="672"/>
      <c r="TIA30" s="672"/>
      <c r="TIB30" s="672"/>
      <c r="TIC30" s="672"/>
      <c r="TID30" s="672"/>
      <c r="TIE30" s="672"/>
      <c r="TIF30" s="672"/>
      <c r="TIG30" s="672"/>
      <c r="TIH30" s="672"/>
      <c r="TII30" s="672"/>
      <c r="TIJ30" s="672"/>
      <c r="TIK30" s="672"/>
      <c r="TIL30" s="672"/>
      <c r="TIM30" s="672"/>
      <c r="TIN30" s="672"/>
      <c r="TIO30" s="672"/>
      <c r="TIP30" s="672"/>
      <c r="TIQ30" s="672"/>
      <c r="TIR30" s="672"/>
      <c r="TIS30" s="672"/>
      <c r="TIT30" s="672"/>
      <c r="TIU30" s="672"/>
      <c r="TIV30" s="672"/>
      <c r="TIW30" s="672"/>
      <c r="TIX30" s="672"/>
      <c r="TIY30" s="672"/>
      <c r="TIZ30" s="672"/>
      <c r="TJA30" s="672"/>
      <c r="TJB30" s="672"/>
      <c r="TJC30" s="672"/>
      <c r="TJD30" s="672"/>
      <c r="TJE30" s="672"/>
      <c r="TJF30" s="672"/>
      <c r="TJG30" s="672"/>
      <c r="TJH30" s="672"/>
      <c r="TJI30" s="672"/>
      <c r="TJJ30" s="672"/>
      <c r="TJK30" s="672"/>
      <c r="TJL30" s="672"/>
      <c r="TJM30" s="672"/>
      <c r="TJN30" s="672"/>
      <c r="TJO30" s="672"/>
      <c r="TJP30" s="672"/>
      <c r="TJQ30" s="672"/>
      <c r="TJR30" s="672"/>
      <c r="TJS30" s="672"/>
      <c r="TJT30" s="672"/>
      <c r="TJU30" s="672"/>
      <c r="TJV30" s="672"/>
      <c r="TJW30" s="672"/>
      <c r="TJX30" s="672"/>
      <c r="TJY30" s="672"/>
      <c r="TJZ30" s="672"/>
      <c r="TKA30" s="672"/>
      <c r="TKB30" s="672"/>
      <c r="TKC30" s="672"/>
      <c r="TKD30" s="672"/>
      <c r="TKE30" s="672"/>
      <c r="TKF30" s="672"/>
      <c r="TKG30" s="672"/>
      <c r="TKH30" s="672"/>
      <c r="TKI30" s="672"/>
      <c r="TKJ30" s="672"/>
      <c r="TKK30" s="672"/>
      <c r="TKL30" s="672"/>
      <c r="TKM30" s="672"/>
      <c r="TKN30" s="672"/>
      <c r="TKO30" s="672"/>
      <c r="TKP30" s="672"/>
      <c r="TKQ30" s="672"/>
      <c r="TKR30" s="672"/>
      <c r="TKS30" s="672"/>
      <c r="TKT30" s="672"/>
      <c r="TKU30" s="672"/>
      <c r="TKV30" s="672"/>
      <c r="TKW30" s="672"/>
      <c r="TKX30" s="672"/>
      <c r="TKY30" s="672"/>
      <c r="TKZ30" s="672"/>
      <c r="TLA30" s="672"/>
      <c r="TLB30" s="672"/>
      <c r="TLC30" s="672"/>
      <c r="TLD30" s="672"/>
      <c r="TLE30" s="672"/>
      <c r="TLF30" s="672"/>
      <c r="TLG30" s="672"/>
      <c r="TLH30" s="672"/>
      <c r="TLI30" s="672"/>
      <c r="TLJ30" s="672"/>
      <c r="TLK30" s="672"/>
      <c r="TLL30" s="672"/>
      <c r="TLM30" s="672"/>
      <c r="TLN30" s="672"/>
      <c r="TLO30" s="672"/>
      <c r="TLP30" s="672"/>
      <c r="TLQ30" s="672"/>
      <c r="TLR30" s="672"/>
      <c r="TLS30" s="672"/>
      <c r="TLT30" s="672"/>
      <c r="TLU30" s="672"/>
      <c r="TLV30" s="672"/>
      <c r="TLW30" s="672"/>
      <c r="TLX30" s="672"/>
      <c r="TLY30" s="672"/>
      <c r="TLZ30" s="672"/>
      <c r="TMA30" s="672"/>
      <c r="TMB30" s="672"/>
      <c r="TMC30" s="672"/>
      <c r="TMD30" s="672"/>
      <c r="TME30" s="672"/>
      <c r="TMF30" s="672"/>
      <c r="TMG30" s="672"/>
      <c r="TMH30" s="672"/>
      <c r="TMI30" s="672"/>
      <c r="TMJ30" s="672"/>
      <c r="TMK30" s="672"/>
      <c r="TML30" s="672"/>
      <c r="TMM30" s="672"/>
      <c r="TMN30" s="672"/>
      <c r="TMO30" s="672"/>
      <c r="TMP30" s="672"/>
      <c r="TMQ30" s="672"/>
      <c r="TMR30" s="672"/>
      <c r="TMS30" s="672"/>
      <c r="TMT30" s="672"/>
      <c r="TMU30" s="672"/>
      <c r="TMV30" s="672"/>
      <c r="TMW30" s="672"/>
      <c r="TMX30" s="672"/>
      <c r="TMY30" s="672"/>
      <c r="TMZ30" s="672"/>
      <c r="TNA30" s="672"/>
      <c r="TNB30" s="672"/>
      <c r="TNC30" s="672"/>
      <c r="TND30" s="672"/>
      <c r="TNE30" s="672"/>
      <c r="TNF30" s="672"/>
      <c r="TNG30" s="672"/>
      <c r="TNH30" s="672"/>
      <c r="TNI30" s="672"/>
      <c r="TNJ30" s="672"/>
      <c r="TNK30" s="672"/>
      <c r="TNL30" s="672"/>
      <c r="TNM30" s="672"/>
      <c r="TNN30" s="672"/>
      <c r="TNO30" s="672"/>
      <c r="TNP30" s="672"/>
      <c r="TNQ30" s="672"/>
      <c r="TNR30" s="672"/>
      <c r="TNS30" s="672"/>
      <c r="TNT30" s="672"/>
      <c r="TNU30" s="672"/>
      <c r="TNV30" s="672"/>
      <c r="TNW30" s="672"/>
      <c r="TNX30" s="672"/>
      <c r="TNY30" s="672"/>
      <c r="TNZ30" s="672"/>
      <c r="TOA30" s="672"/>
      <c r="TOB30" s="672"/>
      <c r="TOC30" s="672"/>
      <c r="TOD30" s="672"/>
      <c r="TOE30" s="672"/>
      <c r="TOF30" s="672"/>
      <c r="TOG30" s="672"/>
      <c r="TOH30" s="672"/>
      <c r="TOI30" s="672"/>
      <c r="TOJ30" s="672"/>
      <c r="TOK30" s="672"/>
      <c r="TOL30" s="672"/>
      <c r="TOM30" s="672"/>
      <c r="TON30" s="672"/>
      <c r="TOO30" s="672"/>
      <c r="TOP30" s="672"/>
      <c r="TOQ30" s="672"/>
      <c r="TOR30" s="672"/>
      <c r="TOS30" s="672"/>
      <c r="TOT30" s="672"/>
      <c r="TOU30" s="672"/>
      <c r="TOV30" s="672"/>
      <c r="TOW30" s="672"/>
      <c r="TOX30" s="672"/>
      <c r="TOY30" s="672"/>
      <c r="TOZ30" s="672"/>
      <c r="TPA30" s="672"/>
      <c r="TPB30" s="672"/>
      <c r="TPC30" s="672"/>
      <c r="TPD30" s="672"/>
      <c r="TPE30" s="672"/>
      <c r="TPF30" s="672"/>
      <c r="TPG30" s="672"/>
      <c r="TPH30" s="672"/>
      <c r="TPI30" s="672"/>
      <c r="TPJ30" s="672"/>
      <c r="TPK30" s="672"/>
      <c r="TPL30" s="672"/>
      <c r="TPM30" s="672"/>
      <c r="TPN30" s="672"/>
      <c r="TPO30" s="672"/>
      <c r="TPP30" s="672"/>
      <c r="TPQ30" s="672"/>
      <c r="TPR30" s="672"/>
      <c r="TPS30" s="672"/>
      <c r="TPT30" s="672"/>
      <c r="TPU30" s="672"/>
      <c r="TPV30" s="672"/>
      <c r="TPW30" s="672"/>
      <c r="TPX30" s="672"/>
      <c r="TPY30" s="672"/>
      <c r="TPZ30" s="672"/>
      <c r="TQA30" s="672"/>
      <c r="TQB30" s="672"/>
      <c r="TQC30" s="672"/>
      <c r="TQD30" s="672"/>
      <c r="TQE30" s="672"/>
      <c r="TQF30" s="672"/>
      <c r="TQG30" s="672"/>
      <c r="TQH30" s="672"/>
      <c r="TQI30" s="672"/>
      <c r="TQJ30" s="672"/>
      <c r="TQK30" s="672"/>
      <c r="TQL30" s="672"/>
      <c r="TQM30" s="672"/>
      <c r="TQN30" s="672"/>
      <c r="TQO30" s="672"/>
      <c r="TQP30" s="672"/>
      <c r="TQQ30" s="672"/>
      <c r="TQR30" s="672"/>
      <c r="TQS30" s="672"/>
      <c r="TQT30" s="672"/>
      <c r="TQU30" s="672"/>
      <c r="TQV30" s="672"/>
      <c r="TQW30" s="672"/>
      <c r="TQX30" s="672"/>
      <c r="TQY30" s="672"/>
      <c r="TQZ30" s="672"/>
      <c r="TRA30" s="672"/>
      <c r="TRB30" s="672"/>
      <c r="TRC30" s="672"/>
      <c r="TRD30" s="672"/>
      <c r="TRE30" s="672"/>
      <c r="TRF30" s="672"/>
      <c r="TRG30" s="672"/>
      <c r="TRH30" s="672"/>
      <c r="TRI30" s="672"/>
      <c r="TRJ30" s="672"/>
      <c r="TRK30" s="672"/>
      <c r="TRL30" s="672"/>
      <c r="TRM30" s="672"/>
      <c r="TRN30" s="672"/>
      <c r="TRO30" s="672"/>
      <c r="TRP30" s="672"/>
      <c r="TRQ30" s="672"/>
      <c r="TRR30" s="672"/>
      <c r="TRS30" s="672"/>
      <c r="TRT30" s="672"/>
      <c r="TRU30" s="672"/>
      <c r="TRV30" s="672"/>
      <c r="TRW30" s="672"/>
      <c r="TRX30" s="672"/>
      <c r="TRY30" s="672"/>
      <c r="TRZ30" s="672"/>
      <c r="TSA30" s="672"/>
      <c r="TSB30" s="672"/>
      <c r="TSC30" s="672"/>
      <c r="TSD30" s="672"/>
      <c r="TSE30" s="672"/>
      <c r="TSF30" s="672"/>
      <c r="TSG30" s="672"/>
      <c r="TSH30" s="672"/>
      <c r="TSI30" s="672"/>
      <c r="TSJ30" s="672"/>
      <c r="TSK30" s="672"/>
      <c r="TSL30" s="672"/>
      <c r="TSM30" s="672"/>
      <c r="TSN30" s="672"/>
      <c r="TSO30" s="672"/>
      <c r="TSP30" s="672"/>
      <c r="TSQ30" s="672"/>
      <c r="TSR30" s="672"/>
      <c r="TSS30" s="672"/>
      <c r="TST30" s="672"/>
      <c r="TSU30" s="672"/>
      <c r="TSV30" s="672"/>
      <c r="TSW30" s="672"/>
      <c r="TSX30" s="672"/>
      <c r="TSY30" s="672"/>
      <c r="TSZ30" s="672"/>
      <c r="TTA30" s="672"/>
      <c r="TTB30" s="672"/>
      <c r="TTC30" s="672"/>
      <c r="TTD30" s="672"/>
      <c r="TTE30" s="672"/>
      <c r="TTF30" s="672"/>
      <c r="TTG30" s="672"/>
      <c r="TTH30" s="672"/>
      <c r="TTI30" s="672"/>
      <c r="TTJ30" s="672"/>
      <c r="TTK30" s="672"/>
      <c r="TTL30" s="672"/>
      <c r="TTM30" s="672"/>
      <c r="TTN30" s="672"/>
      <c r="TTO30" s="672"/>
      <c r="TTP30" s="672"/>
      <c r="TTQ30" s="672"/>
      <c r="TTR30" s="672"/>
      <c r="TTS30" s="672"/>
      <c r="TTT30" s="672"/>
      <c r="TTU30" s="672"/>
      <c r="TTV30" s="672"/>
      <c r="TTW30" s="672"/>
      <c r="TTX30" s="672"/>
      <c r="TTY30" s="672"/>
      <c r="TTZ30" s="672"/>
      <c r="TUA30" s="672"/>
      <c r="TUB30" s="672"/>
      <c r="TUC30" s="672"/>
      <c r="TUD30" s="672"/>
      <c r="TUE30" s="672"/>
      <c r="TUF30" s="672"/>
      <c r="TUG30" s="672"/>
      <c r="TUH30" s="672"/>
      <c r="TUI30" s="672"/>
      <c r="TUJ30" s="672"/>
      <c r="TUK30" s="672"/>
      <c r="TUL30" s="672"/>
      <c r="TUM30" s="672"/>
      <c r="TUN30" s="672"/>
      <c r="TUO30" s="672"/>
      <c r="TUP30" s="672"/>
      <c r="TUQ30" s="672"/>
      <c r="TUR30" s="672"/>
      <c r="TUS30" s="672"/>
      <c r="TUT30" s="672"/>
      <c r="TUU30" s="672"/>
      <c r="TUV30" s="672"/>
      <c r="TUW30" s="672"/>
      <c r="TUX30" s="672"/>
      <c r="TUY30" s="672"/>
      <c r="TUZ30" s="672"/>
      <c r="TVA30" s="672"/>
      <c r="TVB30" s="672"/>
      <c r="TVC30" s="672"/>
      <c r="TVD30" s="672"/>
      <c r="TVE30" s="672"/>
      <c r="TVF30" s="672"/>
      <c r="TVG30" s="672"/>
      <c r="TVH30" s="672"/>
      <c r="TVI30" s="672"/>
      <c r="TVJ30" s="672"/>
      <c r="TVK30" s="672"/>
      <c r="TVL30" s="672"/>
      <c r="TVM30" s="672"/>
      <c r="TVN30" s="672"/>
      <c r="TVO30" s="672"/>
      <c r="TVP30" s="672"/>
      <c r="TVQ30" s="672"/>
      <c r="TVR30" s="672"/>
      <c r="TVS30" s="672"/>
      <c r="TVT30" s="672"/>
      <c r="TVU30" s="672"/>
      <c r="TVV30" s="672"/>
      <c r="TVW30" s="672"/>
      <c r="TVX30" s="672"/>
      <c r="TVY30" s="672"/>
      <c r="TVZ30" s="672"/>
      <c r="TWA30" s="672"/>
      <c r="TWB30" s="672"/>
      <c r="TWC30" s="672"/>
      <c r="TWD30" s="672"/>
      <c r="TWE30" s="672"/>
      <c r="TWF30" s="672"/>
      <c r="TWG30" s="672"/>
      <c r="TWH30" s="672"/>
      <c r="TWI30" s="672"/>
      <c r="TWJ30" s="672"/>
      <c r="TWK30" s="672"/>
      <c r="TWL30" s="672"/>
      <c r="TWM30" s="672"/>
      <c r="TWN30" s="672"/>
      <c r="TWO30" s="672"/>
      <c r="TWP30" s="672"/>
      <c r="TWQ30" s="672"/>
      <c r="TWR30" s="672"/>
      <c r="TWS30" s="672"/>
      <c r="TWT30" s="672"/>
      <c r="TWU30" s="672"/>
      <c r="TWV30" s="672"/>
      <c r="TWW30" s="672"/>
      <c r="TWX30" s="672"/>
      <c r="TWY30" s="672"/>
      <c r="TWZ30" s="672"/>
      <c r="TXA30" s="672"/>
      <c r="TXB30" s="672"/>
      <c r="TXC30" s="672"/>
      <c r="TXD30" s="672"/>
      <c r="TXE30" s="672"/>
      <c r="TXF30" s="672"/>
      <c r="TXG30" s="672"/>
      <c r="TXH30" s="672"/>
      <c r="TXI30" s="672"/>
      <c r="TXJ30" s="672"/>
      <c r="TXK30" s="672"/>
      <c r="TXL30" s="672"/>
      <c r="TXM30" s="672"/>
      <c r="TXN30" s="672"/>
      <c r="TXO30" s="672"/>
      <c r="TXP30" s="672"/>
      <c r="TXQ30" s="672"/>
      <c r="TXR30" s="672"/>
      <c r="TXS30" s="672"/>
      <c r="TXT30" s="672"/>
      <c r="TXU30" s="672"/>
      <c r="TXV30" s="672"/>
      <c r="TXW30" s="672"/>
      <c r="TXX30" s="672"/>
      <c r="TXY30" s="672"/>
      <c r="TXZ30" s="672"/>
      <c r="TYA30" s="672"/>
      <c r="TYB30" s="672"/>
      <c r="TYC30" s="672"/>
      <c r="TYD30" s="672"/>
      <c r="TYE30" s="672"/>
      <c r="TYF30" s="672"/>
      <c r="TYG30" s="672"/>
      <c r="TYH30" s="672"/>
      <c r="TYI30" s="672"/>
      <c r="TYJ30" s="672"/>
      <c r="TYK30" s="672"/>
      <c r="TYL30" s="672"/>
      <c r="TYM30" s="672"/>
      <c r="TYN30" s="672"/>
      <c r="TYO30" s="672"/>
      <c r="TYP30" s="672"/>
      <c r="TYQ30" s="672"/>
      <c r="TYR30" s="672"/>
      <c r="TYS30" s="672"/>
      <c r="TYT30" s="672"/>
      <c r="TYU30" s="672"/>
      <c r="TYV30" s="672"/>
      <c r="TYW30" s="672"/>
      <c r="TYX30" s="672"/>
      <c r="TYY30" s="672"/>
      <c r="TYZ30" s="672"/>
      <c r="TZA30" s="672"/>
      <c r="TZB30" s="672"/>
      <c r="TZC30" s="672"/>
      <c r="TZD30" s="672"/>
      <c r="TZE30" s="672"/>
      <c r="TZF30" s="672"/>
      <c r="TZG30" s="672"/>
      <c r="TZH30" s="672"/>
      <c r="TZI30" s="672"/>
      <c r="TZJ30" s="672"/>
      <c r="TZK30" s="672"/>
      <c r="TZL30" s="672"/>
      <c r="TZM30" s="672"/>
      <c r="TZN30" s="672"/>
      <c r="TZO30" s="672"/>
      <c r="TZP30" s="672"/>
      <c r="TZQ30" s="672"/>
      <c r="TZR30" s="672"/>
      <c r="TZS30" s="672"/>
      <c r="TZT30" s="672"/>
      <c r="TZU30" s="672"/>
      <c r="TZV30" s="672"/>
      <c r="TZW30" s="672"/>
      <c r="TZX30" s="672"/>
      <c r="TZY30" s="672"/>
      <c r="TZZ30" s="672"/>
      <c r="UAA30" s="672"/>
      <c r="UAB30" s="672"/>
      <c r="UAC30" s="672"/>
      <c r="UAD30" s="672"/>
      <c r="UAE30" s="672"/>
      <c r="UAF30" s="672"/>
      <c r="UAG30" s="672"/>
      <c r="UAH30" s="672"/>
      <c r="UAI30" s="672"/>
      <c r="UAJ30" s="672"/>
      <c r="UAK30" s="672"/>
      <c r="UAL30" s="672"/>
      <c r="UAM30" s="672"/>
      <c r="UAN30" s="672"/>
      <c r="UAO30" s="672"/>
      <c r="UAP30" s="672"/>
      <c r="UAQ30" s="672"/>
      <c r="UAR30" s="672"/>
      <c r="UAS30" s="672"/>
      <c r="UAT30" s="672"/>
      <c r="UAU30" s="672"/>
      <c r="UAV30" s="672"/>
      <c r="UAW30" s="672"/>
      <c r="UAX30" s="672"/>
      <c r="UAY30" s="672"/>
      <c r="UAZ30" s="672"/>
      <c r="UBA30" s="672"/>
      <c r="UBB30" s="672"/>
      <c r="UBC30" s="672"/>
      <c r="UBD30" s="672"/>
      <c r="UBE30" s="672"/>
      <c r="UBF30" s="672"/>
      <c r="UBG30" s="672"/>
      <c r="UBH30" s="672"/>
      <c r="UBI30" s="672"/>
      <c r="UBJ30" s="672"/>
      <c r="UBK30" s="672"/>
      <c r="UBL30" s="672"/>
      <c r="UBM30" s="672"/>
      <c r="UBN30" s="672"/>
      <c r="UBO30" s="672"/>
      <c r="UBP30" s="672"/>
      <c r="UBQ30" s="672"/>
      <c r="UBR30" s="672"/>
      <c r="UBS30" s="672"/>
      <c r="UBT30" s="672"/>
      <c r="UBU30" s="672"/>
      <c r="UBV30" s="672"/>
      <c r="UBW30" s="672"/>
      <c r="UBX30" s="672"/>
      <c r="UBY30" s="672"/>
      <c r="UBZ30" s="672"/>
      <c r="UCA30" s="672"/>
      <c r="UCB30" s="672"/>
      <c r="UCC30" s="672"/>
      <c r="UCD30" s="672"/>
      <c r="UCE30" s="672"/>
      <c r="UCF30" s="672"/>
      <c r="UCG30" s="672"/>
      <c r="UCH30" s="672"/>
      <c r="UCI30" s="672"/>
      <c r="UCJ30" s="672"/>
      <c r="UCK30" s="672"/>
      <c r="UCL30" s="672"/>
      <c r="UCM30" s="672"/>
      <c r="UCN30" s="672"/>
      <c r="UCO30" s="672"/>
      <c r="UCP30" s="672"/>
      <c r="UCQ30" s="672"/>
      <c r="UCR30" s="672"/>
      <c r="UCS30" s="672"/>
      <c r="UCT30" s="672"/>
      <c r="UCU30" s="672"/>
      <c r="UCV30" s="672"/>
      <c r="UCW30" s="672"/>
      <c r="UCX30" s="672"/>
      <c r="UCY30" s="672"/>
      <c r="UCZ30" s="672"/>
      <c r="UDA30" s="672"/>
      <c r="UDB30" s="672"/>
      <c r="UDC30" s="672"/>
      <c r="UDD30" s="672"/>
      <c r="UDE30" s="672"/>
      <c r="UDF30" s="672"/>
      <c r="UDG30" s="672"/>
      <c r="UDH30" s="672"/>
      <c r="UDI30" s="672"/>
      <c r="UDJ30" s="672"/>
      <c r="UDK30" s="672"/>
      <c r="UDL30" s="672"/>
      <c r="UDM30" s="672"/>
      <c r="UDN30" s="672"/>
      <c r="UDO30" s="672"/>
      <c r="UDP30" s="672"/>
      <c r="UDQ30" s="672"/>
      <c r="UDR30" s="672"/>
      <c r="UDS30" s="672"/>
      <c r="UDT30" s="672"/>
      <c r="UDU30" s="672"/>
      <c r="UDV30" s="672"/>
      <c r="UDW30" s="672"/>
      <c r="UDX30" s="672"/>
      <c r="UDY30" s="672"/>
      <c r="UDZ30" s="672"/>
      <c r="UEA30" s="672"/>
      <c r="UEB30" s="672"/>
      <c r="UEC30" s="672"/>
      <c r="UED30" s="672"/>
      <c r="UEE30" s="672"/>
      <c r="UEF30" s="672"/>
      <c r="UEG30" s="672"/>
      <c r="UEH30" s="672"/>
      <c r="UEI30" s="672"/>
      <c r="UEJ30" s="672"/>
      <c r="UEK30" s="672"/>
      <c r="UEL30" s="672"/>
      <c r="UEM30" s="672"/>
      <c r="UEN30" s="672"/>
      <c r="UEO30" s="672"/>
      <c r="UEP30" s="672"/>
      <c r="UEQ30" s="672"/>
      <c r="UER30" s="672"/>
      <c r="UES30" s="672"/>
      <c r="UET30" s="672"/>
      <c r="UEU30" s="672"/>
      <c r="UEV30" s="672"/>
      <c r="UEW30" s="672"/>
      <c r="UEX30" s="672"/>
      <c r="UEY30" s="672"/>
      <c r="UEZ30" s="672"/>
      <c r="UFA30" s="672"/>
      <c r="UFB30" s="672"/>
      <c r="UFC30" s="672"/>
      <c r="UFD30" s="672"/>
      <c r="UFE30" s="672"/>
      <c r="UFF30" s="672"/>
      <c r="UFG30" s="672"/>
      <c r="UFH30" s="672"/>
      <c r="UFI30" s="672"/>
      <c r="UFJ30" s="672"/>
      <c r="UFK30" s="672"/>
      <c r="UFL30" s="672"/>
      <c r="UFM30" s="672"/>
      <c r="UFN30" s="672"/>
      <c r="UFO30" s="672"/>
      <c r="UFP30" s="672"/>
      <c r="UFQ30" s="672"/>
      <c r="UFR30" s="672"/>
      <c r="UFS30" s="672"/>
      <c r="UFT30" s="672"/>
      <c r="UFU30" s="672"/>
      <c r="UFV30" s="672"/>
      <c r="UFW30" s="672"/>
      <c r="UFX30" s="672"/>
      <c r="UFY30" s="672"/>
      <c r="UFZ30" s="672"/>
      <c r="UGA30" s="672"/>
      <c r="UGB30" s="672"/>
      <c r="UGC30" s="672"/>
      <c r="UGD30" s="672"/>
      <c r="UGE30" s="672"/>
      <c r="UGF30" s="672"/>
      <c r="UGG30" s="672"/>
      <c r="UGH30" s="672"/>
      <c r="UGI30" s="672"/>
      <c r="UGJ30" s="672"/>
      <c r="UGK30" s="672"/>
      <c r="UGL30" s="672"/>
      <c r="UGM30" s="672"/>
      <c r="UGN30" s="672"/>
      <c r="UGO30" s="672"/>
      <c r="UGP30" s="672"/>
      <c r="UGQ30" s="672"/>
      <c r="UGR30" s="672"/>
      <c r="UGS30" s="672"/>
      <c r="UGT30" s="672"/>
      <c r="UGU30" s="672"/>
      <c r="UGV30" s="672"/>
      <c r="UGW30" s="672"/>
      <c r="UGX30" s="672"/>
      <c r="UGY30" s="672"/>
      <c r="UGZ30" s="672"/>
      <c r="UHA30" s="672"/>
      <c r="UHB30" s="672"/>
      <c r="UHC30" s="672"/>
      <c r="UHD30" s="672"/>
      <c r="UHE30" s="672"/>
      <c r="UHF30" s="672"/>
      <c r="UHG30" s="672"/>
      <c r="UHH30" s="672"/>
      <c r="UHI30" s="672"/>
      <c r="UHJ30" s="672"/>
      <c r="UHK30" s="672"/>
      <c r="UHL30" s="672"/>
      <c r="UHM30" s="672"/>
      <c r="UHN30" s="672"/>
      <c r="UHO30" s="672"/>
      <c r="UHP30" s="672"/>
      <c r="UHQ30" s="672"/>
      <c r="UHR30" s="672"/>
      <c r="UHS30" s="672"/>
      <c r="UHT30" s="672"/>
      <c r="UHU30" s="672"/>
      <c r="UHV30" s="672"/>
      <c r="UHW30" s="672"/>
      <c r="UHX30" s="672"/>
      <c r="UHY30" s="672"/>
      <c r="UHZ30" s="672"/>
      <c r="UIA30" s="672"/>
      <c r="UIB30" s="672"/>
      <c r="UIC30" s="672"/>
      <c r="UID30" s="672"/>
      <c r="UIE30" s="672"/>
      <c r="UIF30" s="672"/>
      <c r="UIG30" s="672"/>
      <c r="UIH30" s="672"/>
      <c r="UII30" s="672"/>
      <c r="UIJ30" s="672"/>
      <c r="UIK30" s="672"/>
      <c r="UIL30" s="672"/>
      <c r="UIM30" s="672"/>
      <c r="UIN30" s="672"/>
      <c r="UIO30" s="672"/>
      <c r="UIP30" s="672"/>
      <c r="UIQ30" s="672"/>
      <c r="UIR30" s="672"/>
      <c r="UIS30" s="672"/>
      <c r="UIT30" s="672"/>
      <c r="UIU30" s="672"/>
      <c r="UIV30" s="672"/>
      <c r="UIW30" s="672"/>
      <c r="UIX30" s="672"/>
      <c r="UIY30" s="672"/>
      <c r="UIZ30" s="672"/>
      <c r="UJA30" s="672"/>
      <c r="UJB30" s="672"/>
      <c r="UJC30" s="672"/>
      <c r="UJD30" s="672"/>
      <c r="UJE30" s="672"/>
      <c r="UJF30" s="672"/>
      <c r="UJG30" s="672"/>
      <c r="UJH30" s="672"/>
      <c r="UJI30" s="672"/>
      <c r="UJJ30" s="672"/>
      <c r="UJK30" s="672"/>
      <c r="UJL30" s="672"/>
      <c r="UJM30" s="672"/>
      <c r="UJN30" s="672"/>
      <c r="UJO30" s="672"/>
      <c r="UJP30" s="672"/>
      <c r="UJQ30" s="672"/>
      <c r="UJR30" s="672"/>
      <c r="UJS30" s="672"/>
      <c r="UJT30" s="672"/>
      <c r="UJU30" s="672"/>
      <c r="UJV30" s="672"/>
      <c r="UJW30" s="672"/>
      <c r="UJX30" s="672"/>
      <c r="UJY30" s="672"/>
      <c r="UJZ30" s="672"/>
      <c r="UKA30" s="672"/>
      <c r="UKB30" s="672"/>
      <c r="UKC30" s="672"/>
      <c r="UKD30" s="672"/>
      <c r="UKE30" s="672"/>
      <c r="UKF30" s="672"/>
      <c r="UKG30" s="672"/>
      <c r="UKH30" s="672"/>
      <c r="UKI30" s="672"/>
      <c r="UKJ30" s="672"/>
      <c r="UKK30" s="672"/>
      <c r="UKL30" s="672"/>
      <c r="UKM30" s="672"/>
      <c r="UKN30" s="672"/>
      <c r="UKO30" s="672"/>
      <c r="UKP30" s="672"/>
      <c r="UKQ30" s="672"/>
      <c r="UKR30" s="672"/>
      <c r="UKS30" s="672"/>
      <c r="UKT30" s="672"/>
      <c r="UKU30" s="672"/>
      <c r="UKV30" s="672"/>
      <c r="UKW30" s="672"/>
      <c r="UKX30" s="672"/>
      <c r="UKY30" s="672"/>
      <c r="UKZ30" s="672"/>
      <c r="ULA30" s="672"/>
      <c r="ULB30" s="672"/>
      <c r="ULC30" s="672"/>
      <c r="ULD30" s="672"/>
      <c r="ULE30" s="672"/>
      <c r="ULF30" s="672"/>
      <c r="ULG30" s="672"/>
      <c r="ULH30" s="672"/>
      <c r="ULI30" s="672"/>
      <c r="ULJ30" s="672"/>
      <c r="ULK30" s="672"/>
      <c r="ULL30" s="672"/>
      <c r="ULM30" s="672"/>
      <c r="ULN30" s="672"/>
      <c r="ULO30" s="672"/>
      <c r="ULP30" s="672"/>
      <c r="ULQ30" s="672"/>
      <c r="ULR30" s="672"/>
      <c r="ULS30" s="672"/>
      <c r="ULT30" s="672"/>
      <c r="ULU30" s="672"/>
      <c r="ULV30" s="672"/>
      <c r="ULW30" s="672"/>
      <c r="ULX30" s="672"/>
      <c r="ULY30" s="672"/>
      <c r="ULZ30" s="672"/>
      <c r="UMA30" s="672"/>
      <c r="UMB30" s="672"/>
      <c r="UMC30" s="672"/>
      <c r="UMD30" s="672"/>
      <c r="UME30" s="672"/>
      <c r="UMF30" s="672"/>
      <c r="UMG30" s="672"/>
      <c r="UMH30" s="672"/>
      <c r="UMI30" s="672"/>
      <c r="UMJ30" s="672"/>
      <c r="UMK30" s="672"/>
      <c r="UML30" s="672"/>
      <c r="UMM30" s="672"/>
      <c r="UMN30" s="672"/>
      <c r="UMO30" s="672"/>
      <c r="UMP30" s="672"/>
      <c r="UMQ30" s="672"/>
      <c r="UMR30" s="672"/>
      <c r="UMS30" s="672"/>
      <c r="UMT30" s="672"/>
      <c r="UMU30" s="672"/>
      <c r="UMV30" s="672"/>
      <c r="UMW30" s="672"/>
      <c r="UMX30" s="672"/>
      <c r="UMY30" s="672"/>
      <c r="UMZ30" s="672"/>
      <c r="UNA30" s="672"/>
      <c r="UNB30" s="672"/>
      <c r="UNC30" s="672"/>
      <c r="UND30" s="672"/>
      <c r="UNE30" s="672"/>
      <c r="UNF30" s="672"/>
      <c r="UNG30" s="672"/>
      <c r="UNH30" s="672"/>
      <c r="UNI30" s="672"/>
      <c r="UNJ30" s="672"/>
      <c r="UNK30" s="672"/>
      <c r="UNL30" s="672"/>
      <c r="UNM30" s="672"/>
      <c r="UNN30" s="672"/>
      <c r="UNO30" s="672"/>
      <c r="UNP30" s="672"/>
      <c r="UNQ30" s="672"/>
      <c r="UNR30" s="672"/>
      <c r="UNS30" s="672"/>
      <c r="UNT30" s="672"/>
      <c r="UNU30" s="672"/>
      <c r="UNV30" s="672"/>
      <c r="UNW30" s="672"/>
      <c r="UNX30" s="672"/>
      <c r="UNY30" s="672"/>
      <c r="UNZ30" s="672"/>
      <c r="UOA30" s="672"/>
      <c r="UOB30" s="672"/>
      <c r="UOC30" s="672"/>
      <c r="UOD30" s="672"/>
      <c r="UOE30" s="672"/>
      <c r="UOF30" s="672"/>
      <c r="UOG30" s="672"/>
      <c r="UOH30" s="672"/>
      <c r="UOI30" s="672"/>
      <c r="UOJ30" s="672"/>
      <c r="UOK30" s="672"/>
      <c r="UOL30" s="672"/>
      <c r="UOM30" s="672"/>
      <c r="UON30" s="672"/>
      <c r="UOO30" s="672"/>
      <c r="UOP30" s="672"/>
      <c r="UOQ30" s="672"/>
      <c r="UOR30" s="672"/>
      <c r="UOS30" s="672"/>
      <c r="UOT30" s="672"/>
      <c r="UOU30" s="672"/>
      <c r="UOV30" s="672"/>
      <c r="UOW30" s="672"/>
      <c r="UOX30" s="672"/>
      <c r="UOY30" s="672"/>
      <c r="UOZ30" s="672"/>
      <c r="UPA30" s="672"/>
      <c r="UPB30" s="672"/>
      <c r="UPC30" s="672"/>
      <c r="UPD30" s="672"/>
      <c r="UPE30" s="672"/>
      <c r="UPF30" s="672"/>
      <c r="UPG30" s="672"/>
      <c r="UPH30" s="672"/>
      <c r="UPI30" s="672"/>
      <c r="UPJ30" s="672"/>
      <c r="UPK30" s="672"/>
      <c r="UPL30" s="672"/>
      <c r="UPM30" s="672"/>
      <c r="UPN30" s="672"/>
      <c r="UPO30" s="672"/>
      <c r="UPP30" s="672"/>
      <c r="UPQ30" s="672"/>
      <c r="UPR30" s="672"/>
      <c r="UPS30" s="672"/>
      <c r="UPT30" s="672"/>
      <c r="UPU30" s="672"/>
      <c r="UPV30" s="672"/>
      <c r="UPW30" s="672"/>
      <c r="UPX30" s="672"/>
      <c r="UPY30" s="672"/>
      <c r="UPZ30" s="672"/>
      <c r="UQA30" s="672"/>
      <c r="UQB30" s="672"/>
      <c r="UQC30" s="672"/>
      <c r="UQD30" s="672"/>
      <c r="UQE30" s="672"/>
      <c r="UQF30" s="672"/>
      <c r="UQG30" s="672"/>
      <c r="UQH30" s="672"/>
      <c r="UQI30" s="672"/>
      <c r="UQJ30" s="672"/>
      <c r="UQK30" s="672"/>
      <c r="UQL30" s="672"/>
      <c r="UQM30" s="672"/>
      <c r="UQN30" s="672"/>
      <c r="UQO30" s="672"/>
      <c r="UQP30" s="672"/>
      <c r="UQQ30" s="672"/>
      <c r="UQR30" s="672"/>
      <c r="UQS30" s="672"/>
      <c r="UQT30" s="672"/>
      <c r="UQU30" s="672"/>
      <c r="UQV30" s="672"/>
      <c r="UQW30" s="672"/>
      <c r="UQX30" s="672"/>
      <c r="UQY30" s="672"/>
      <c r="UQZ30" s="672"/>
      <c r="URA30" s="672"/>
      <c r="URB30" s="672"/>
      <c r="URC30" s="672"/>
      <c r="URD30" s="672"/>
      <c r="URE30" s="672"/>
      <c r="URF30" s="672"/>
      <c r="URG30" s="672"/>
      <c r="URH30" s="672"/>
      <c r="URI30" s="672"/>
      <c r="URJ30" s="672"/>
      <c r="URK30" s="672"/>
      <c r="URL30" s="672"/>
      <c r="URM30" s="672"/>
      <c r="URN30" s="672"/>
      <c r="URO30" s="672"/>
      <c r="URP30" s="672"/>
      <c r="URQ30" s="672"/>
      <c r="URR30" s="672"/>
      <c r="URS30" s="672"/>
      <c r="URT30" s="672"/>
      <c r="URU30" s="672"/>
      <c r="URV30" s="672"/>
      <c r="URW30" s="672"/>
      <c r="URX30" s="672"/>
      <c r="URY30" s="672"/>
      <c r="URZ30" s="672"/>
      <c r="USA30" s="672"/>
      <c r="USB30" s="672"/>
      <c r="USC30" s="672"/>
      <c r="USD30" s="672"/>
      <c r="USE30" s="672"/>
      <c r="USF30" s="672"/>
      <c r="USG30" s="672"/>
      <c r="USH30" s="672"/>
      <c r="USI30" s="672"/>
      <c r="USJ30" s="672"/>
      <c r="USK30" s="672"/>
      <c r="USL30" s="672"/>
      <c r="USM30" s="672"/>
      <c r="USN30" s="672"/>
      <c r="USO30" s="672"/>
      <c r="USP30" s="672"/>
      <c r="USQ30" s="672"/>
      <c r="USR30" s="672"/>
      <c r="USS30" s="672"/>
      <c r="UST30" s="672"/>
      <c r="USU30" s="672"/>
      <c r="USV30" s="672"/>
      <c r="USW30" s="672"/>
      <c r="USX30" s="672"/>
      <c r="USY30" s="672"/>
      <c r="USZ30" s="672"/>
      <c r="UTA30" s="672"/>
      <c r="UTB30" s="672"/>
      <c r="UTC30" s="672"/>
      <c r="UTD30" s="672"/>
      <c r="UTE30" s="672"/>
      <c r="UTF30" s="672"/>
      <c r="UTG30" s="672"/>
      <c r="UTH30" s="672"/>
      <c r="UTI30" s="672"/>
      <c r="UTJ30" s="672"/>
      <c r="UTK30" s="672"/>
      <c r="UTL30" s="672"/>
      <c r="UTM30" s="672"/>
      <c r="UTN30" s="672"/>
      <c r="UTO30" s="672"/>
      <c r="UTP30" s="672"/>
      <c r="UTQ30" s="672"/>
      <c r="UTR30" s="672"/>
      <c r="UTS30" s="672"/>
      <c r="UTT30" s="672"/>
      <c r="UTU30" s="672"/>
      <c r="UTV30" s="672"/>
      <c r="UTW30" s="672"/>
      <c r="UTX30" s="672"/>
      <c r="UTY30" s="672"/>
      <c r="UTZ30" s="672"/>
      <c r="UUA30" s="672"/>
      <c r="UUB30" s="672"/>
      <c r="UUC30" s="672"/>
      <c r="UUD30" s="672"/>
      <c r="UUE30" s="672"/>
      <c r="UUF30" s="672"/>
      <c r="UUG30" s="672"/>
      <c r="UUH30" s="672"/>
      <c r="UUI30" s="672"/>
      <c r="UUJ30" s="672"/>
      <c r="UUK30" s="672"/>
      <c r="UUL30" s="672"/>
      <c r="UUM30" s="672"/>
      <c r="UUN30" s="672"/>
      <c r="UUO30" s="672"/>
      <c r="UUP30" s="672"/>
      <c r="UUQ30" s="672"/>
      <c r="UUR30" s="672"/>
      <c r="UUS30" s="672"/>
      <c r="UUT30" s="672"/>
      <c r="UUU30" s="672"/>
      <c r="UUV30" s="672"/>
      <c r="UUW30" s="672"/>
      <c r="UUX30" s="672"/>
      <c r="UUY30" s="672"/>
      <c r="UUZ30" s="672"/>
      <c r="UVA30" s="672"/>
      <c r="UVB30" s="672"/>
      <c r="UVC30" s="672"/>
      <c r="UVD30" s="672"/>
      <c r="UVE30" s="672"/>
      <c r="UVF30" s="672"/>
      <c r="UVG30" s="672"/>
      <c r="UVH30" s="672"/>
      <c r="UVI30" s="672"/>
      <c r="UVJ30" s="672"/>
      <c r="UVK30" s="672"/>
      <c r="UVL30" s="672"/>
      <c r="UVM30" s="672"/>
      <c r="UVN30" s="672"/>
      <c r="UVO30" s="672"/>
      <c r="UVP30" s="672"/>
      <c r="UVQ30" s="672"/>
      <c r="UVR30" s="672"/>
      <c r="UVS30" s="672"/>
      <c r="UVT30" s="672"/>
      <c r="UVU30" s="672"/>
      <c r="UVV30" s="672"/>
      <c r="UVW30" s="672"/>
      <c r="UVX30" s="672"/>
      <c r="UVY30" s="672"/>
      <c r="UVZ30" s="672"/>
      <c r="UWA30" s="672"/>
      <c r="UWB30" s="672"/>
      <c r="UWC30" s="672"/>
      <c r="UWD30" s="672"/>
      <c r="UWE30" s="672"/>
      <c r="UWF30" s="672"/>
      <c r="UWG30" s="672"/>
      <c r="UWH30" s="672"/>
      <c r="UWI30" s="672"/>
      <c r="UWJ30" s="672"/>
      <c r="UWK30" s="672"/>
      <c r="UWL30" s="672"/>
      <c r="UWM30" s="672"/>
      <c r="UWN30" s="672"/>
      <c r="UWO30" s="672"/>
      <c r="UWP30" s="672"/>
      <c r="UWQ30" s="672"/>
      <c r="UWR30" s="672"/>
      <c r="UWS30" s="672"/>
      <c r="UWT30" s="672"/>
      <c r="UWU30" s="672"/>
      <c r="UWV30" s="672"/>
      <c r="UWW30" s="672"/>
      <c r="UWX30" s="672"/>
      <c r="UWY30" s="672"/>
      <c r="UWZ30" s="672"/>
      <c r="UXA30" s="672"/>
      <c r="UXB30" s="672"/>
      <c r="UXC30" s="672"/>
      <c r="UXD30" s="672"/>
      <c r="UXE30" s="672"/>
      <c r="UXF30" s="672"/>
      <c r="UXG30" s="672"/>
      <c r="UXH30" s="672"/>
      <c r="UXI30" s="672"/>
      <c r="UXJ30" s="672"/>
      <c r="UXK30" s="672"/>
      <c r="UXL30" s="672"/>
      <c r="UXM30" s="672"/>
      <c r="UXN30" s="672"/>
      <c r="UXO30" s="672"/>
      <c r="UXP30" s="672"/>
      <c r="UXQ30" s="672"/>
      <c r="UXR30" s="672"/>
      <c r="UXS30" s="672"/>
      <c r="UXT30" s="672"/>
      <c r="UXU30" s="672"/>
      <c r="UXV30" s="672"/>
      <c r="UXW30" s="672"/>
      <c r="UXX30" s="672"/>
      <c r="UXY30" s="672"/>
      <c r="UXZ30" s="672"/>
      <c r="UYA30" s="672"/>
      <c r="UYB30" s="672"/>
      <c r="UYC30" s="672"/>
      <c r="UYD30" s="672"/>
      <c r="UYE30" s="672"/>
      <c r="UYF30" s="672"/>
      <c r="UYG30" s="672"/>
      <c r="UYH30" s="672"/>
      <c r="UYI30" s="672"/>
      <c r="UYJ30" s="672"/>
      <c r="UYK30" s="672"/>
      <c r="UYL30" s="672"/>
      <c r="UYM30" s="672"/>
      <c r="UYN30" s="672"/>
      <c r="UYO30" s="672"/>
      <c r="UYP30" s="672"/>
      <c r="UYQ30" s="672"/>
      <c r="UYR30" s="672"/>
      <c r="UYS30" s="672"/>
      <c r="UYT30" s="672"/>
      <c r="UYU30" s="672"/>
      <c r="UYV30" s="672"/>
      <c r="UYW30" s="672"/>
      <c r="UYX30" s="672"/>
      <c r="UYY30" s="672"/>
      <c r="UYZ30" s="672"/>
      <c r="UZA30" s="672"/>
      <c r="UZB30" s="672"/>
      <c r="UZC30" s="672"/>
      <c r="UZD30" s="672"/>
      <c r="UZE30" s="672"/>
      <c r="UZF30" s="672"/>
      <c r="UZG30" s="672"/>
      <c r="UZH30" s="672"/>
      <c r="UZI30" s="672"/>
      <c r="UZJ30" s="672"/>
      <c r="UZK30" s="672"/>
      <c r="UZL30" s="672"/>
      <c r="UZM30" s="672"/>
      <c r="UZN30" s="672"/>
      <c r="UZO30" s="672"/>
      <c r="UZP30" s="672"/>
      <c r="UZQ30" s="672"/>
      <c r="UZR30" s="672"/>
      <c r="UZS30" s="672"/>
      <c r="UZT30" s="672"/>
      <c r="UZU30" s="672"/>
      <c r="UZV30" s="672"/>
      <c r="UZW30" s="672"/>
      <c r="UZX30" s="672"/>
      <c r="UZY30" s="672"/>
      <c r="UZZ30" s="672"/>
      <c r="VAA30" s="672"/>
      <c r="VAB30" s="672"/>
      <c r="VAC30" s="672"/>
      <c r="VAD30" s="672"/>
      <c r="VAE30" s="672"/>
      <c r="VAF30" s="672"/>
      <c r="VAG30" s="672"/>
      <c r="VAH30" s="672"/>
      <c r="VAI30" s="672"/>
      <c r="VAJ30" s="672"/>
      <c r="VAK30" s="672"/>
      <c r="VAL30" s="672"/>
      <c r="VAM30" s="672"/>
      <c r="VAN30" s="672"/>
      <c r="VAO30" s="672"/>
      <c r="VAP30" s="672"/>
      <c r="VAQ30" s="672"/>
      <c r="VAR30" s="672"/>
      <c r="VAS30" s="672"/>
      <c r="VAT30" s="672"/>
      <c r="VAU30" s="672"/>
      <c r="VAV30" s="672"/>
      <c r="VAW30" s="672"/>
      <c r="VAX30" s="672"/>
      <c r="VAY30" s="672"/>
      <c r="VAZ30" s="672"/>
      <c r="VBA30" s="672"/>
      <c r="VBB30" s="672"/>
      <c r="VBC30" s="672"/>
      <c r="VBD30" s="672"/>
      <c r="VBE30" s="672"/>
      <c r="VBF30" s="672"/>
      <c r="VBG30" s="672"/>
      <c r="VBH30" s="672"/>
      <c r="VBI30" s="672"/>
      <c r="VBJ30" s="672"/>
      <c r="VBK30" s="672"/>
      <c r="VBL30" s="672"/>
      <c r="VBM30" s="672"/>
      <c r="VBN30" s="672"/>
      <c r="VBO30" s="672"/>
      <c r="VBP30" s="672"/>
      <c r="VBQ30" s="672"/>
      <c r="VBR30" s="672"/>
      <c r="VBS30" s="672"/>
      <c r="VBT30" s="672"/>
      <c r="VBU30" s="672"/>
      <c r="VBV30" s="672"/>
      <c r="VBW30" s="672"/>
      <c r="VBX30" s="672"/>
      <c r="VBY30" s="672"/>
      <c r="VBZ30" s="672"/>
      <c r="VCA30" s="672"/>
      <c r="VCB30" s="672"/>
      <c r="VCC30" s="672"/>
      <c r="VCD30" s="672"/>
      <c r="VCE30" s="672"/>
      <c r="VCF30" s="672"/>
      <c r="VCG30" s="672"/>
      <c r="VCH30" s="672"/>
      <c r="VCI30" s="672"/>
      <c r="VCJ30" s="672"/>
      <c r="VCK30" s="672"/>
      <c r="VCL30" s="672"/>
      <c r="VCM30" s="672"/>
      <c r="VCN30" s="672"/>
      <c r="VCO30" s="672"/>
      <c r="VCP30" s="672"/>
      <c r="VCQ30" s="672"/>
      <c r="VCR30" s="672"/>
      <c r="VCS30" s="672"/>
      <c r="VCT30" s="672"/>
      <c r="VCU30" s="672"/>
      <c r="VCV30" s="672"/>
      <c r="VCW30" s="672"/>
      <c r="VCX30" s="672"/>
      <c r="VCY30" s="672"/>
      <c r="VCZ30" s="672"/>
      <c r="VDA30" s="672"/>
      <c r="VDB30" s="672"/>
      <c r="VDC30" s="672"/>
      <c r="VDD30" s="672"/>
      <c r="VDE30" s="672"/>
      <c r="VDF30" s="672"/>
      <c r="VDG30" s="672"/>
      <c r="VDH30" s="672"/>
      <c r="VDI30" s="672"/>
      <c r="VDJ30" s="672"/>
      <c r="VDK30" s="672"/>
      <c r="VDL30" s="672"/>
      <c r="VDM30" s="672"/>
      <c r="VDN30" s="672"/>
      <c r="VDO30" s="672"/>
      <c r="VDP30" s="672"/>
      <c r="VDQ30" s="672"/>
      <c r="VDR30" s="672"/>
      <c r="VDS30" s="672"/>
      <c r="VDT30" s="672"/>
      <c r="VDU30" s="672"/>
      <c r="VDV30" s="672"/>
      <c r="VDW30" s="672"/>
      <c r="VDX30" s="672"/>
      <c r="VDY30" s="672"/>
      <c r="VDZ30" s="672"/>
      <c r="VEA30" s="672"/>
      <c r="VEB30" s="672"/>
      <c r="VEC30" s="672"/>
      <c r="VED30" s="672"/>
      <c r="VEE30" s="672"/>
      <c r="VEF30" s="672"/>
      <c r="VEG30" s="672"/>
      <c r="VEH30" s="672"/>
      <c r="VEI30" s="672"/>
      <c r="VEJ30" s="672"/>
      <c r="VEK30" s="672"/>
      <c r="VEL30" s="672"/>
      <c r="VEM30" s="672"/>
      <c r="VEN30" s="672"/>
      <c r="VEO30" s="672"/>
      <c r="VEP30" s="672"/>
      <c r="VEQ30" s="672"/>
      <c r="VER30" s="672"/>
      <c r="VES30" s="672"/>
      <c r="VET30" s="672"/>
      <c r="VEU30" s="672"/>
      <c r="VEV30" s="672"/>
      <c r="VEW30" s="672"/>
      <c r="VEX30" s="672"/>
      <c r="VEY30" s="672"/>
      <c r="VEZ30" s="672"/>
      <c r="VFA30" s="672"/>
      <c r="VFB30" s="672"/>
      <c r="VFC30" s="672"/>
      <c r="VFD30" s="672"/>
      <c r="VFE30" s="672"/>
      <c r="VFF30" s="672"/>
      <c r="VFG30" s="672"/>
      <c r="VFH30" s="672"/>
      <c r="VFI30" s="672"/>
      <c r="VFJ30" s="672"/>
      <c r="VFK30" s="672"/>
      <c r="VFL30" s="672"/>
      <c r="VFM30" s="672"/>
      <c r="VFN30" s="672"/>
      <c r="VFO30" s="672"/>
      <c r="VFP30" s="672"/>
      <c r="VFQ30" s="672"/>
      <c r="VFR30" s="672"/>
      <c r="VFS30" s="672"/>
      <c r="VFT30" s="672"/>
      <c r="VFU30" s="672"/>
      <c r="VFV30" s="672"/>
      <c r="VFW30" s="672"/>
      <c r="VFX30" s="672"/>
      <c r="VFY30" s="672"/>
      <c r="VFZ30" s="672"/>
      <c r="VGA30" s="672"/>
      <c r="VGB30" s="672"/>
      <c r="VGC30" s="672"/>
      <c r="VGD30" s="672"/>
      <c r="VGE30" s="672"/>
      <c r="VGF30" s="672"/>
      <c r="VGG30" s="672"/>
      <c r="VGH30" s="672"/>
      <c r="VGI30" s="672"/>
      <c r="VGJ30" s="672"/>
      <c r="VGK30" s="672"/>
      <c r="VGL30" s="672"/>
      <c r="VGM30" s="672"/>
      <c r="VGN30" s="672"/>
      <c r="VGO30" s="672"/>
      <c r="VGP30" s="672"/>
      <c r="VGQ30" s="672"/>
      <c r="VGR30" s="672"/>
      <c r="VGS30" s="672"/>
      <c r="VGT30" s="672"/>
      <c r="VGU30" s="672"/>
      <c r="VGV30" s="672"/>
      <c r="VGW30" s="672"/>
      <c r="VGX30" s="672"/>
      <c r="VGY30" s="672"/>
      <c r="VGZ30" s="672"/>
      <c r="VHA30" s="672"/>
      <c r="VHB30" s="672"/>
      <c r="VHC30" s="672"/>
      <c r="VHD30" s="672"/>
      <c r="VHE30" s="672"/>
      <c r="VHF30" s="672"/>
      <c r="VHG30" s="672"/>
      <c r="VHH30" s="672"/>
      <c r="VHI30" s="672"/>
      <c r="VHJ30" s="672"/>
      <c r="VHK30" s="672"/>
      <c r="VHL30" s="672"/>
      <c r="VHM30" s="672"/>
      <c r="VHN30" s="672"/>
      <c r="VHO30" s="672"/>
      <c r="VHP30" s="672"/>
      <c r="VHQ30" s="672"/>
      <c r="VHR30" s="672"/>
      <c r="VHS30" s="672"/>
      <c r="VHT30" s="672"/>
      <c r="VHU30" s="672"/>
      <c r="VHV30" s="672"/>
      <c r="VHW30" s="672"/>
      <c r="VHX30" s="672"/>
      <c r="VHY30" s="672"/>
      <c r="VHZ30" s="672"/>
      <c r="VIA30" s="672"/>
      <c r="VIB30" s="672"/>
      <c r="VIC30" s="672"/>
      <c r="VID30" s="672"/>
      <c r="VIE30" s="672"/>
      <c r="VIF30" s="672"/>
      <c r="VIG30" s="672"/>
      <c r="VIH30" s="672"/>
      <c r="VII30" s="672"/>
      <c r="VIJ30" s="672"/>
      <c r="VIK30" s="672"/>
      <c r="VIL30" s="672"/>
      <c r="VIM30" s="672"/>
      <c r="VIN30" s="672"/>
      <c r="VIO30" s="672"/>
      <c r="VIP30" s="672"/>
      <c r="VIQ30" s="672"/>
      <c r="VIR30" s="672"/>
      <c r="VIS30" s="672"/>
      <c r="VIT30" s="672"/>
      <c r="VIU30" s="672"/>
      <c r="VIV30" s="672"/>
      <c r="VIW30" s="672"/>
      <c r="VIX30" s="672"/>
      <c r="VIY30" s="672"/>
      <c r="VIZ30" s="672"/>
      <c r="VJA30" s="672"/>
      <c r="VJB30" s="672"/>
      <c r="VJC30" s="672"/>
      <c r="VJD30" s="672"/>
      <c r="VJE30" s="672"/>
      <c r="VJF30" s="672"/>
      <c r="VJG30" s="672"/>
      <c r="VJH30" s="672"/>
      <c r="VJI30" s="672"/>
      <c r="VJJ30" s="672"/>
      <c r="VJK30" s="672"/>
      <c r="VJL30" s="672"/>
      <c r="VJM30" s="672"/>
      <c r="VJN30" s="672"/>
      <c r="VJO30" s="672"/>
      <c r="VJP30" s="672"/>
      <c r="VJQ30" s="672"/>
      <c r="VJR30" s="672"/>
      <c r="VJS30" s="672"/>
      <c r="VJT30" s="672"/>
      <c r="VJU30" s="672"/>
      <c r="VJV30" s="672"/>
      <c r="VJW30" s="672"/>
      <c r="VJX30" s="672"/>
      <c r="VJY30" s="672"/>
      <c r="VJZ30" s="672"/>
      <c r="VKA30" s="672"/>
      <c r="VKB30" s="672"/>
      <c r="VKC30" s="672"/>
      <c r="VKD30" s="672"/>
      <c r="VKE30" s="672"/>
      <c r="VKF30" s="672"/>
      <c r="VKG30" s="672"/>
      <c r="VKH30" s="672"/>
      <c r="VKI30" s="672"/>
      <c r="VKJ30" s="672"/>
      <c r="VKK30" s="672"/>
      <c r="VKL30" s="672"/>
      <c r="VKM30" s="672"/>
      <c r="VKN30" s="672"/>
      <c r="VKO30" s="672"/>
      <c r="VKP30" s="672"/>
      <c r="VKQ30" s="672"/>
      <c r="VKR30" s="672"/>
      <c r="VKS30" s="672"/>
      <c r="VKT30" s="672"/>
      <c r="VKU30" s="672"/>
      <c r="VKV30" s="672"/>
      <c r="VKW30" s="672"/>
      <c r="VKX30" s="672"/>
      <c r="VKY30" s="672"/>
      <c r="VKZ30" s="672"/>
      <c r="VLA30" s="672"/>
      <c r="VLB30" s="672"/>
      <c r="VLC30" s="672"/>
      <c r="VLD30" s="672"/>
      <c r="VLE30" s="672"/>
      <c r="VLF30" s="672"/>
      <c r="VLG30" s="672"/>
      <c r="VLH30" s="672"/>
      <c r="VLI30" s="672"/>
      <c r="VLJ30" s="672"/>
      <c r="VLK30" s="672"/>
      <c r="VLL30" s="672"/>
      <c r="VLM30" s="672"/>
      <c r="VLN30" s="672"/>
      <c r="VLO30" s="672"/>
      <c r="VLP30" s="672"/>
      <c r="VLQ30" s="672"/>
      <c r="VLR30" s="672"/>
      <c r="VLS30" s="672"/>
      <c r="VLT30" s="672"/>
      <c r="VLU30" s="672"/>
      <c r="VLV30" s="672"/>
      <c r="VLW30" s="672"/>
      <c r="VLX30" s="672"/>
      <c r="VLY30" s="672"/>
      <c r="VLZ30" s="672"/>
      <c r="VMA30" s="672"/>
      <c r="VMB30" s="672"/>
      <c r="VMC30" s="672"/>
      <c r="VMD30" s="672"/>
      <c r="VME30" s="672"/>
      <c r="VMF30" s="672"/>
      <c r="VMG30" s="672"/>
      <c r="VMH30" s="672"/>
      <c r="VMI30" s="672"/>
      <c r="VMJ30" s="672"/>
      <c r="VMK30" s="672"/>
      <c r="VML30" s="672"/>
      <c r="VMM30" s="672"/>
      <c r="VMN30" s="672"/>
      <c r="VMO30" s="672"/>
      <c r="VMP30" s="672"/>
      <c r="VMQ30" s="672"/>
      <c r="VMR30" s="672"/>
      <c r="VMS30" s="672"/>
      <c r="VMT30" s="672"/>
      <c r="VMU30" s="672"/>
      <c r="VMV30" s="672"/>
      <c r="VMW30" s="672"/>
      <c r="VMX30" s="672"/>
      <c r="VMY30" s="672"/>
      <c r="VMZ30" s="672"/>
      <c r="VNA30" s="672"/>
      <c r="VNB30" s="672"/>
      <c r="VNC30" s="672"/>
      <c r="VND30" s="672"/>
      <c r="VNE30" s="672"/>
      <c r="VNF30" s="672"/>
      <c r="VNG30" s="672"/>
      <c r="VNH30" s="672"/>
      <c r="VNI30" s="672"/>
      <c r="VNJ30" s="672"/>
      <c r="VNK30" s="672"/>
      <c r="VNL30" s="672"/>
      <c r="VNM30" s="672"/>
      <c r="VNN30" s="672"/>
      <c r="VNO30" s="672"/>
      <c r="VNP30" s="672"/>
      <c r="VNQ30" s="672"/>
      <c r="VNR30" s="672"/>
      <c r="VNS30" s="672"/>
      <c r="VNT30" s="672"/>
      <c r="VNU30" s="672"/>
      <c r="VNV30" s="672"/>
      <c r="VNW30" s="672"/>
      <c r="VNX30" s="672"/>
      <c r="VNY30" s="672"/>
      <c r="VNZ30" s="672"/>
      <c r="VOA30" s="672"/>
      <c r="VOB30" s="672"/>
      <c r="VOC30" s="672"/>
      <c r="VOD30" s="672"/>
      <c r="VOE30" s="672"/>
      <c r="VOF30" s="672"/>
      <c r="VOG30" s="672"/>
      <c r="VOH30" s="672"/>
      <c r="VOI30" s="672"/>
      <c r="VOJ30" s="672"/>
      <c r="VOK30" s="672"/>
      <c r="VOL30" s="672"/>
      <c r="VOM30" s="672"/>
      <c r="VON30" s="672"/>
      <c r="VOO30" s="672"/>
      <c r="VOP30" s="672"/>
      <c r="VOQ30" s="672"/>
      <c r="VOR30" s="672"/>
      <c r="VOS30" s="672"/>
      <c r="VOT30" s="672"/>
      <c r="VOU30" s="672"/>
      <c r="VOV30" s="672"/>
      <c r="VOW30" s="672"/>
      <c r="VOX30" s="672"/>
      <c r="VOY30" s="672"/>
      <c r="VOZ30" s="672"/>
      <c r="VPA30" s="672"/>
      <c r="VPB30" s="672"/>
      <c r="VPC30" s="672"/>
      <c r="VPD30" s="672"/>
      <c r="VPE30" s="672"/>
      <c r="VPF30" s="672"/>
      <c r="VPG30" s="672"/>
      <c r="VPH30" s="672"/>
      <c r="VPI30" s="672"/>
      <c r="VPJ30" s="672"/>
      <c r="VPK30" s="672"/>
      <c r="VPL30" s="672"/>
      <c r="VPM30" s="672"/>
      <c r="VPN30" s="672"/>
      <c r="VPO30" s="672"/>
      <c r="VPP30" s="672"/>
      <c r="VPQ30" s="672"/>
      <c r="VPR30" s="672"/>
      <c r="VPS30" s="672"/>
      <c r="VPT30" s="672"/>
      <c r="VPU30" s="672"/>
      <c r="VPV30" s="672"/>
      <c r="VPW30" s="672"/>
      <c r="VPX30" s="672"/>
      <c r="VPY30" s="672"/>
      <c r="VPZ30" s="672"/>
      <c r="VQA30" s="672"/>
      <c r="VQB30" s="672"/>
      <c r="VQC30" s="672"/>
      <c r="VQD30" s="672"/>
      <c r="VQE30" s="672"/>
      <c r="VQF30" s="672"/>
      <c r="VQG30" s="672"/>
      <c r="VQH30" s="672"/>
      <c r="VQI30" s="672"/>
      <c r="VQJ30" s="672"/>
      <c r="VQK30" s="672"/>
      <c r="VQL30" s="672"/>
      <c r="VQM30" s="672"/>
      <c r="VQN30" s="672"/>
      <c r="VQO30" s="672"/>
      <c r="VQP30" s="672"/>
      <c r="VQQ30" s="672"/>
      <c r="VQR30" s="672"/>
      <c r="VQS30" s="672"/>
      <c r="VQT30" s="672"/>
      <c r="VQU30" s="672"/>
      <c r="VQV30" s="672"/>
      <c r="VQW30" s="672"/>
      <c r="VQX30" s="672"/>
      <c r="VQY30" s="672"/>
      <c r="VQZ30" s="672"/>
      <c r="VRA30" s="672"/>
      <c r="VRB30" s="672"/>
      <c r="VRC30" s="672"/>
      <c r="VRD30" s="672"/>
      <c r="VRE30" s="672"/>
      <c r="VRF30" s="672"/>
      <c r="VRG30" s="672"/>
      <c r="VRH30" s="672"/>
      <c r="VRI30" s="672"/>
      <c r="VRJ30" s="672"/>
      <c r="VRK30" s="672"/>
      <c r="VRL30" s="672"/>
      <c r="VRM30" s="672"/>
      <c r="VRN30" s="672"/>
      <c r="VRO30" s="672"/>
      <c r="VRP30" s="672"/>
      <c r="VRQ30" s="672"/>
      <c r="VRR30" s="672"/>
      <c r="VRS30" s="672"/>
      <c r="VRT30" s="672"/>
      <c r="VRU30" s="672"/>
      <c r="VRV30" s="672"/>
      <c r="VRW30" s="672"/>
      <c r="VRX30" s="672"/>
      <c r="VRY30" s="672"/>
      <c r="VRZ30" s="672"/>
      <c r="VSA30" s="672"/>
      <c r="VSB30" s="672"/>
      <c r="VSC30" s="672"/>
      <c r="VSD30" s="672"/>
      <c r="VSE30" s="672"/>
      <c r="VSF30" s="672"/>
      <c r="VSG30" s="672"/>
      <c r="VSH30" s="672"/>
      <c r="VSI30" s="672"/>
      <c r="VSJ30" s="672"/>
      <c r="VSK30" s="672"/>
      <c r="VSL30" s="672"/>
      <c r="VSM30" s="672"/>
      <c r="VSN30" s="672"/>
      <c r="VSO30" s="672"/>
      <c r="VSP30" s="672"/>
      <c r="VSQ30" s="672"/>
      <c r="VSR30" s="672"/>
      <c r="VSS30" s="672"/>
      <c r="VST30" s="672"/>
      <c r="VSU30" s="672"/>
      <c r="VSV30" s="672"/>
      <c r="VSW30" s="672"/>
      <c r="VSX30" s="672"/>
      <c r="VSY30" s="672"/>
      <c r="VSZ30" s="672"/>
      <c r="VTA30" s="672"/>
      <c r="VTB30" s="672"/>
      <c r="VTC30" s="672"/>
      <c r="VTD30" s="672"/>
      <c r="VTE30" s="672"/>
      <c r="VTF30" s="672"/>
      <c r="VTG30" s="672"/>
      <c r="VTH30" s="672"/>
      <c r="VTI30" s="672"/>
      <c r="VTJ30" s="672"/>
      <c r="VTK30" s="672"/>
      <c r="VTL30" s="672"/>
      <c r="VTM30" s="672"/>
      <c r="VTN30" s="672"/>
      <c r="VTO30" s="672"/>
      <c r="VTP30" s="672"/>
      <c r="VTQ30" s="672"/>
      <c r="VTR30" s="672"/>
      <c r="VTS30" s="672"/>
      <c r="VTT30" s="672"/>
      <c r="VTU30" s="672"/>
      <c r="VTV30" s="672"/>
      <c r="VTW30" s="672"/>
      <c r="VTX30" s="672"/>
      <c r="VTY30" s="672"/>
      <c r="VTZ30" s="672"/>
      <c r="VUA30" s="672"/>
      <c r="VUB30" s="672"/>
      <c r="VUC30" s="672"/>
      <c r="VUD30" s="672"/>
      <c r="VUE30" s="672"/>
      <c r="VUF30" s="672"/>
      <c r="VUG30" s="672"/>
      <c r="VUH30" s="672"/>
      <c r="VUI30" s="672"/>
      <c r="VUJ30" s="672"/>
      <c r="VUK30" s="672"/>
      <c r="VUL30" s="672"/>
      <c r="VUM30" s="672"/>
      <c r="VUN30" s="672"/>
      <c r="VUO30" s="672"/>
      <c r="VUP30" s="672"/>
      <c r="VUQ30" s="672"/>
      <c r="VUR30" s="672"/>
      <c r="VUS30" s="672"/>
      <c r="VUT30" s="672"/>
      <c r="VUU30" s="672"/>
      <c r="VUV30" s="672"/>
      <c r="VUW30" s="672"/>
      <c r="VUX30" s="672"/>
      <c r="VUY30" s="672"/>
      <c r="VUZ30" s="672"/>
      <c r="VVA30" s="672"/>
      <c r="VVB30" s="672"/>
      <c r="VVC30" s="672"/>
      <c r="VVD30" s="672"/>
      <c r="VVE30" s="672"/>
      <c r="VVF30" s="672"/>
      <c r="VVG30" s="672"/>
      <c r="VVH30" s="672"/>
      <c r="VVI30" s="672"/>
      <c r="VVJ30" s="672"/>
      <c r="VVK30" s="672"/>
      <c r="VVL30" s="672"/>
      <c r="VVM30" s="672"/>
      <c r="VVN30" s="672"/>
      <c r="VVO30" s="672"/>
      <c r="VVP30" s="672"/>
      <c r="VVQ30" s="672"/>
      <c r="VVR30" s="672"/>
      <c r="VVS30" s="672"/>
      <c r="VVT30" s="672"/>
      <c r="VVU30" s="672"/>
      <c r="VVV30" s="672"/>
      <c r="VVW30" s="672"/>
      <c r="VVX30" s="672"/>
      <c r="VVY30" s="672"/>
      <c r="VVZ30" s="672"/>
      <c r="VWA30" s="672"/>
      <c r="VWB30" s="672"/>
      <c r="VWC30" s="672"/>
      <c r="VWD30" s="672"/>
      <c r="VWE30" s="672"/>
      <c r="VWF30" s="672"/>
      <c r="VWG30" s="672"/>
      <c r="VWH30" s="672"/>
      <c r="VWI30" s="672"/>
      <c r="VWJ30" s="672"/>
      <c r="VWK30" s="672"/>
      <c r="VWL30" s="672"/>
      <c r="VWM30" s="672"/>
      <c r="VWN30" s="672"/>
      <c r="VWO30" s="672"/>
      <c r="VWP30" s="672"/>
      <c r="VWQ30" s="672"/>
      <c r="VWR30" s="672"/>
      <c r="VWS30" s="672"/>
      <c r="VWT30" s="672"/>
      <c r="VWU30" s="672"/>
      <c r="VWV30" s="672"/>
      <c r="VWW30" s="672"/>
      <c r="VWX30" s="672"/>
      <c r="VWY30" s="672"/>
      <c r="VWZ30" s="672"/>
      <c r="VXA30" s="672"/>
      <c r="VXB30" s="672"/>
      <c r="VXC30" s="672"/>
      <c r="VXD30" s="672"/>
      <c r="VXE30" s="672"/>
      <c r="VXF30" s="672"/>
      <c r="VXG30" s="672"/>
      <c r="VXH30" s="672"/>
      <c r="VXI30" s="672"/>
      <c r="VXJ30" s="672"/>
      <c r="VXK30" s="672"/>
      <c r="VXL30" s="672"/>
      <c r="VXM30" s="672"/>
      <c r="VXN30" s="672"/>
      <c r="VXO30" s="672"/>
      <c r="VXP30" s="672"/>
      <c r="VXQ30" s="672"/>
      <c r="VXR30" s="672"/>
      <c r="VXS30" s="672"/>
      <c r="VXT30" s="672"/>
      <c r="VXU30" s="672"/>
      <c r="VXV30" s="672"/>
      <c r="VXW30" s="672"/>
      <c r="VXX30" s="672"/>
      <c r="VXY30" s="672"/>
      <c r="VXZ30" s="672"/>
      <c r="VYA30" s="672"/>
      <c r="VYB30" s="672"/>
      <c r="VYC30" s="672"/>
      <c r="VYD30" s="672"/>
      <c r="VYE30" s="672"/>
      <c r="VYF30" s="672"/>
      <c r="VYG30" s="672"/>
      <c r="VYH30" s="672"/>
      <c r="VYI30" s="672"/>
      <c r="VYJ30" s="672"/>
      <c r="VYK30" s="672"/>
      <c r="VYL30" s="672"/>
      <c r="VYM30" s="672"/>
      <c r="VYN30" s="672"/>
      <c r="VYO30" s="672"/>
      <c r="VYP30" s="672"/>
      <c r="VYQ30" s="672"/>
      <c r="VYR30" s="672"/>
      <c r="VYS30" s="672"/>
      <c r="VYT30" s="672"/>
      <c r="VYU30" s="672"/>
      <c r="VYV30" s="672"/>
      <c r="VYW30" s="672"/>
      <c r="VYX30" s="672"/>
      <c r="VYY30" s="672"/>
      <c r="VYZ30" s="672"/>
      <c r="VZA30" s="672"/>
      <c r="VZB30" s="672"/>
      <c r="VZC30" s="672"/>
      <c r="VZD30" s="672"/>
      <c r="VZE30" s="672"/>
      <c r="VZF30" s="672"/>
      <c r="VZG30" s="672"/>
      <c r="VZH30" s="672"/>
      <c r="VZI30" s="672"/>
      <c r="VZJ30" s="672"/>
      <c r="VZK30" s="672"/>
      <c r="VZL30" s="672"/>
      <c r="VZM30" s="672"/>
      <c r="VZN30" s="672"/>
      <c r="VZO30" s="672"/>
      <c r="VZP30" s="672"/>
      <c r="VZQ30" s="672"/>
      <c r="VZR30" s="672"/>
      <c r="VZS30" s="672"/>
      <c r="VZT30" s="672"/>
      <c r="VZU30" s="672"/>
      <c r="VZV30" s="672"/>
      <c r="VZW30" s="672"/>
      <c r="VZX30" s="672"/>
      <c r="VZY30" s="672"/>
      <c r="VZZ30" s="672"/>
      <c r="WAA30" s="672"/>
      <c r="WAB30" s="672"/>
      <c r="WAC30" s="672"/>
      <c r="WAD30" s="672"/>
      <c r="WAE30" s="672"/>
      <c r="WAF30" s="672"/>
      <c r="WAG30" s="672"/>
      <c r="WAH30" s="672"/>
      <c r="WAI30" s="672"/>
      <c r="WAJ30" s="672"/>
      <c r="WAK30" s="672"/>
      <c r="WAL30" s="672"/>
      <c r="WAM30" s="672"/>
      <c r="WAN30" s="672"/>
      <c r="WAO30" s="672"/>
      <c r="WAP30" s="672"/>
      <c r="WAQ30" s="672"/>
      <c r="WAR30" s="672"/>
      <c r="WAS30" s="672"/>
      <c r="WAT30" s="672"/>
      <c r="WAU30" s="672"/>
      <c r="WAV30" s="672"/>
      <c r="WAW30" s="672"/>
      <c r="WAX30" s="672"/>
      <c r="WAY30" s="672"/>
      <c r="WAZ30" s="672"/>
      <c r="WBA30" s="672"/>
      <c r="WBB30" s="672"/>
      <c r="WBC30" s="672"/>
      <c r="WBD30" s="672"/>
      <c r="WBE30" s="672"/>
      <c r="WBF30" s="672"/>
      <c r="WBG30" s="672"/>
      <c r="WBH30" s="672"/>
      <c r="WBI30" s="672"/>
      <c r="WBJ30" s="672"/>
      <c r="WBK30" s="672"/>
      <c r="WBL30" s="672"/>
      <c r="WBM30" s="672"/>
      <c r="WBN30" s="672"/>
      <c r="WBO30" s="672"/>
      <c r="WBP30" s="672"/>
      <c r="WBQ30" s="672"/>
      <c r="WBR30" s="672"/>
      <c r="WBS30" s="672"/>
      <c r="WBT30" s="672"/>
      <c r="WBU30" s="672"/>
      <c r="WBV30" s="672"/>
      <c r="WBW30" s="672"/>
      <c r="WBX30" s="672"/>
      <c r="WBY30" s="672"/>
      <c r="WBZ30" s="672"/>
      <c r="WCA30" s="672"/>
      <c r="WCB30" s="672"/>
      <c r="WCC30" s="672"/>
      <c r="WCD30" s="672"/>
      <c r="WCE30" s="672"/>
      <c r="WCF30" s="672"/>
      <c r="WCG30" s="672"/>
      <c r="WCH30" s="672"/>
      <c r="WCI30" s="672"/>
      <c r="WCJ30" s="672"/>
      <c r="WCK30" s="672"/>
      <c r="WCL30" s="672"/>
      <c r="WCM30" s="672"/>
      <c r="WCN30" s="672"/>
      <c r="WCO30" s="672"/>
      <c r="WCP30" s="672"/>
      <c r="WCQ30" s="672"/>
      <c r="WCR30" s="672"/>
      <c r="WCS30" s="672"/>
      <c r="WCT30" s="672"/>
      <c r="WCU30" s="672"/>
      <c r="WCV30" s="672"/>
      <c r="WCW30" s="672"/>
      <c r="WCX30" s="672"/>
      <c r="WCY30" s="672"/>
      <c r="WCZ30" s="672"/>
      <c r="WDA30" s="672"/>
      <c r="WDB30" s="672"/>
      <c r="WDC30" s="672"/>
      <c r="WDD30" s="672"/>
      <c r="WDE30" s="672"/>
      <c r="WDF30" s="672"/>
      <c r="WDG30" s="672"/>
      <c r="WDH30" s="672"/>
      <c r="WDI30" s="672"/>
      <c r="WDJ30" s="672"/>
      <c r="WDK30" s="672"/>
      <c r="WDL30" s="672"/>
      <c r="WDM30" s="672"/>
      <c r="WDN30" s="672"/>
      <c r="WDO30" s="672"/>
      <c r="WDP30" s="672"/>
      <c r="WDQ30" s="672"/>
      <c r="WDR30" s="672"/>
      <c r="WDS30" s="672"/>
      <c r="WDT30" s="672"/>
      <c r="WDU30" s="672"/>
      <c r="WDV30" s="672"/>
      <c r="WDW30" s="672"/>
      <c r="WDX30" s="672"/>
      <c r="WDY30" s="672"/>
      <c r="WDZ30" s="672"/>
      <c r="WEA30" s="672"/>
      <c r="WEB30" s="672"/>
      <c r="WEC30" s="672"/>
      <c r="WED30" s="672"/>
      <c r="WEE30" s="672"/>
      <c r="WEF30" s="672"/>
      <c r="WEG30" s="672"/>
      <c r="WEH30" s="672"/>
      <c r="WEI30" s="672"/>
      <c r="WEJ30" s="672"/>
      <c r="WEK30" s="672"/>
      <c r="WEL30" s="672"/>
      <c r="WEM30" s="672"/>
      <c r="WEN30" s="672"/>
      <c r="WEO30" s="672"/>
      <c r="WEP30" s="672"/>
      <c r="WEQ30" s="672"/>
      <c r="WER30" s="672"/>
      <c r="WES30" s="672"/>
      <c r="WET30" s="672"/>
      <c r="WEU30" s="672"/>
      <c r="WEV30" s="672"/>
      <c r="WEW30" s="672"/>
      <c r="WEX30" s="672"/>
      <c r="WEY30" s="672"/>
      <c r="WEZ30" s="672"/>
      <c r="WFA30" s="672"/>
      <c r="WFB30" s="672"/>
      <c r="WFC30" s="672"/>
      <c r="WFD30" s="672"/>
      <c r="WFE30" s="672"/>
      <c r="WFF30" s="672"/>
      <c r="WFG30" s="672"/>
      <c r="WFH30" s="672"/>
      <c r="WFI30" s="672"/>
      <c r="WFJ30" s="672"/>
      <c r="WFK30" s="672"/>
      <c r="WFL30" s="672"/>
      <c r="WFM30" s="672"/>
      <c r="WFN30" s="672"/>
      <c r="WFO30" s="672"/>
      <c r="WFP30" s="672"/>
      <c r="WFQ30" s="672"/>
      <c r="WFR30" s="672"/>
      <c r="WFS30" s="672"/>
      <c r="WFT30" s="672"/>
      <c r="WFU30" s="672"/>
      <c r="WFV30" s="672"/>
      <c r="WFW30" s="672"/>
      <c r="WFX30" s="672"/>
      <c r="WFY30" s="672"/>
      <c r="WFZ30" s="672"/>
      <c r="WGA30" s="672"/>
      <c r="WGB30" s="672"/>
      <c r="WGC30" s="672"/>
      <c r="WGD30" s="672"/>
      <c r="WGE30" s="672"/>
      <c r="WGF30" s="672"/>
      <c r="WGG30" s="672"/>
      <c r="WGH30" s="672"/>
      <c r="WGI30" s="672"/>
      <c r="WGJ30" s="672"/>
      <c r="WGK30" s="672"/>
      <c r="WGL30" s="672"/>
      <c r="WGM30" s="672"/>
      <c r="WGN30" s="672"/>
      <c r="WGO30" s="672"/>
      <c r="WGP30" s="672"/>
      <c r="WGQ30" s="672"/>
      <c r="WGR30" s="672"/>
      <c r="WGS30" s="672"/>
      <c r="WGT30" s="672"/>
      <c r="WGU30" s="672"/>
      <c r="WGV30" s="672"/>
      <c r="WGW30" s="672"/>
      <c r="WGX30" s="672"/>
      <c r="WGY30" s="672"/>
      <c r="WGZ30" s="672"/>
      <c r="WHA30" s="672"/>
      <c r="WHB30" s="672"/>
      <c r="WHC30" s="672"/>
      <c r="WHD30" s="672"/>
      <c r="WHE30" s="672"/>
      <c r="WHF30" s="672"/>
      <c r="WHG30" s="672"/>
      <c r="WHH30" s="672"/>
      <c r="WHI30" s="672"/>
      <c r="WHJ30" s="672"/>
      <c r="WHK30" s="672"/>
      <c r="WHL30" s="672"/>
      <c r="WHM30" s="672"/>
      <c r="WHN30" s="672"/>
      <c r="WHO30" s="672"/>
      <c r="WHP30" s="672"/>
      <c r="WHQ30" s="672"/>
      <c r="WHR30" s="672"/>
      <c r="WHS30" s="672"/>
      <c r="WHT30" s="672"/>
      <c r="WHU30" s="672"/>
      <c r="WHV30" s="672"/>
      <c r="WHW30" s="672"/>
      <c r="WHX30" s="672"/>
      <c r="WHY30" s="672"/>
      <c r="WHZ30" s="672"/>
      <c r="WIA30" s="672"/>
      <c r="WIB30" s="672"/>
      <c r="WIC30" s="672"/>
      <c r="WID30" s="672"/>
      <c r="WIE30" s="672"/>
      <c r="WIF30" s="672"/>
      <c r="WIG30" s="672"/>
      <c r="WIH30" s="672"/>
      <c r="WII30" s="672"/>
      <c r="WIJ30" s="672"/>
      <c r="WIK30" s="672"/>
      <c r="WIL30" s="672"/>
      <c r="WIM30" s="672"/>
      <c r="WIN30" s="672"/>
      <c r="WIO30" s="672"/>
      <c r="WIP30" s="672"/>
      <c r="WIQ30" s="672"/>
      <c r="WIR30" s="672"/>
      <c r="WIS30" s="672"/>
      <c r="WIT30" s="672"/>
      <c r="WIU30" s="672"/>
      <c r="WIV30" s="672"/>
      <c r="WIW30" s="672"/>
      <c r="WIX30" s="672"/>
      <c r="WIY30" s="672"/>
      <c r="WIZ30" s="672"/>
      <c r="WJA30" s="672"/>
      <c r="WJB30" s="672"/>
      <c r="WJC30" s="672"/>
      <c r="WJD30" s="672"/>
      <c r="WJE30" s="672"/>
      <c r="WJF30" s="672"/>
      <c r="WJG30" s="672"/>
      <c r="WJH30" s="672"/>
      <c r="WJI30" s="672"/>
      <c r="WJJ30" s="672"/>
      <c r="WJK30" s="672"/>
      <c r="WJL30" s="672"/>
      <c r="WJM30" s="672"/>
      <c r="WJN30" s="672"/>
      <c r="WJO30" s="672"/>
      <c r="WJP30" s="672"/>
      <c r="WJQ30" s="672"/>
      <c r="WJR30" s="672"/>
      <c r="WJS30" s="672"/>
      <c r="WJT30" s="672"/>
      <c r="WJU30" s="672"/>
      <c r="WJV30" s="672"/>
      <c r="WJW30" s="672"/>
      <c r="WJX30" s="672"/>
      <c r="WJY30" s="672"/>
      <c r="WJZ30" s="672"/>
      <c r="WKA30" s="672"/>
      <c r="WKB30" s="672"/>
      <c r="WKC30" s="672"/>
      <c r="WKD30" s="672"/>
      <c r="WKE30" s="672"/>
      <c r="WKF30" s="672"/>
      <c r="WKG30" s="672"/>
      <c r="WKH30" s="672"/>
      <c r="WKI30" s="672"/>
      <c r="WKJ30" s="672"/>
      <c r="WKK30" s="672"/>
      <c r="WKL30" s="672"/>
      <c r="WKM30" s="672"/>
      <c r="WKN30" s="672"/>
      <c r="WKO30" s="672"/>
      <c r="WKP30" s="672"/>
      <c r="WKQ30" s="672"/>
      <c r="WKR30" s="672"/>
      <c r="WKS30" s="672"/>
      <c r="WKT30" s="672"/>
      <c r="WKU30" s="672"/>
      <c r="WKV30" s="672"/>
      <c r="WKW30" s="672"/>
      <c r="WKX30" s="672"/>
      <c r="WKY30" s="672"/>
      <c r="WKZ30" s="672"/>
      <c r="WLA30" s="672"/>
      <c r="WLB30" s="672"/>
      <c r="WLC30" s="672"/>
      <c r="WLD30" s="672"/>
      <c r="WLE30" s="672"/>
      <c r="WLF30" s="672"/>
      <c r="WLG30" s="672"/>
      <c r="WLH30" s="672"/>
      <c r="WLI30" s="672"/>
      <c r="WLJ30" s="672"/>
      <c r="WLK30" s="672"/>
      <c r="WLL30" s="672"/>
      <c r="WLM30" s="672"/>
      <c r="WLN30" s="672"/>
      <c r="WLO30" s="672"/>
      <c r="WLP30" s="672"/>
      <c r="WLQ30" s="672"/>
      <c r="WLR30" s="672"/>
      <c r="WLS30" s="672"/>
      <c r="WLT30" s="672"/>
      <c r="WLU30" s="672"/>
      <c r="WLV30" s="672"/>
      <c r="WLW30" s="672"/>
      <c r="WLX30" s="672"/>
      <c r="WLY30" s="672"/>
      <c r="WLZ30" s="672"/>
      <c r="WMA30" s="672"/>
      <c r="WMB30" s="672"/>
      <c r="WMC30" s="672"/>
      <c r="WMD30" s="672"/>
      <c r="WME30" s="672"/>
      <c r="WMF30" s="672"/>
      <c r="WMG30" s="672"/>
      <c r="WMH30" s="672"/>
      <c r="WMI30" s="672"/>
      <c r="WMJ30" s="672"/>
      <c r="WMK30" s="672"/>
      <c r="WML30" s="672"/>
      <c r="WMM30" s="672"/>
      <c r="WMN30" s="672"/>
      <c r="WMO30" s="672"/>
      <c r="WMP30" s="672"/>
      <c r="WMQ30" s="672"/>
      <c r="WMR30" s="672"/>
      <c r="WMS30" s="672"/>
      <c r="WMT30" s="672"/>
      <c r="WMU30" s="672"/>
      <c r="WMV30" s="672"/>
      <c r="WMW30" s="672"/>
      <c r="WMX30" s="672"/>
      <c r="WMY30" s="672"/>
      <c r="WMZ30" s="672"/>
      <c r="WNA30" s="672"/>
      <c r="WNB30" s="672"/>
      <c r="WNC30" s="672"/>
      <c r="WND30" s="672"/>
      <c r="WNE30" s="672"/>
      <c r="WNF30" s="672"/>
      <c r="WNG30" s="672"/>
      <c r="WNH30" s="672"/>
      <c r="WNI30" s="672"/>
      <c r="WNJ30" s="672"/>
      <c r="WNK30" s="672"/>
      <c r="WNL30" s="672"/>
      <c r="WNM30" s="672"/>
      <c r="WNN30" s="672"/>
      <c r="WNO30" s="672"/>
      <c r="WNP30" s="672"/>
      <c r="WNQ30" s="672"/>
      <c r="WNR30" s="672"/>
      <c r="WNS30" s="672"/>
      <c r="WNT30" s="672"/>
      <c r="WNU30" s="672"/>
      <c r="WNV30" s="672"/>
      <c r="WNW30" s="672"/>
      <c r="WNX30" s="672"/>
      <c r="WNY30" s="672"/>
      <c r="WNZ30" s="672"/>
      <c r="WOA30" s="672"/>
      <c r="WOB30" s="672"/>
      <c r="WOC30" s="672"/>
      <c r="WOD30" s="672"/>
      <c r="WOE30" s="672"/>
      <c r="WOF30" s="672"/>
      <c r="WOG30" s="672"/>
      <c r="WOH30" s="672"/>
      <c r="WOI30" s="672"/>
      <c r="WOJ30" s="672"/>
      <c r="WOK30" s="672"/>
      <c r="WOL30" s="672"/>
      <c r="WOM30" s="672"/>
      <c r="WON30" s="672"/>
      <c r="WOO30" s="672"/>
      <c r="WOP30" s="672"/>
      <c r="WOQ30" s="672"/>
      <c r="WOR30" s="672"/>
      <c r="WOS30" s="672"/>
      <c r="WOT30" s="672"/>
      <c r="WOU30" s="672"/>
      <c r="WOV30" s="672"/>
      <c r="WOW30" s="672"/>
      <c r="WOX30" s="672"/>
      <c r="WOY30" s="672"/>
      <c r="WOZ30" s="672"/>
      <c r="WPA30" s="672"/>
      <c r="WPB30" s="672"/>
      <c r="WPC30" s="672"/>
      <c r="WPD30" s="672"/>
      <c r="WPE30" s="672"/>
      <c r="WPF30" s="672"/>
      <c r="WPG30" s="672"/>
      <c r="WPH30" s="672"/>
      <c r="WPI30" s="672"/>
      <c r="WPJ30" s="672"/>
      <c r="WPK30" s="672"/>
      <c r="WPL30" s="672"/>
      <c r="WPM30" s="672"/>
      <c r="WPN30" s="672"/>
      <c r="WPO30" s="672"/>
      <c r="WPP30" s="672"/>
      <c r="WPQ30" s="672"/>
      <c r="WPR30" s="672"/>
      <c r="WPS30" s="672"/>
      <c r="WPT30" s="672"/>
      <c r="WPU30" s="672"/>
      <c r="WPV30" s="672"/>
      <c r="WPW30" s="672"/>
      <c r="WPX30" s="672"/>
      <c r="WPY30" s="672"/>
      <c r="WPZ30" s="672"/>
      <c r="WQA30" s="672"/>
      <c r="WQB30" s="672"/>
      <c r="WQC30" s="672"/>
      <c r="WQD30" s="672"/>
      <c r="WQE30" s="672"/>
      <c r="WQF30" s="672"/>
      <c r="WQG30" s="672"/>
      <c r="WQH30" s="672"/>
      <c r="WQI30" s="672"/>
      <c r="WQJ30" s="672"/>
      <c r="WQK30" s="672"/>
      <c r="WQL30" s="672"/>
      <c r="WQM30" s="672"/>
      <c r="WQN30" s="672"/>
      <c r="WQO30" s="672"/>
      <c r="WQP30" s="672"/>
      <c r="WQQ30" s="672"/>
      <c r="WQR30" s="672"/>
      <c r="WQS30" s="672"/>
      <c r="WQT30" s="672"/>
      <c r="WQU30" s="672"/>
      <c r="WQV30" s="672"/>
      <c r="WQW30" s="672"/>
      <c r="WQX30" s="672"/>
      <c r="WQY30" s="672"/>
      <c r="WQZ30" s="672"/>
      <c r="WRA30" s="672"/>
      <c r="WRB30" s="672"/>
      <c r="WRC30" s="672"/>
      <c r="WRD30" s="672"/>
      <c r="WRE30" s="672"/>
      <c r="WRF30" s="672"/>
      <c r="WRG30" s="672"/>
      <c r="WRH30" s="672"/>
      <c r="WRI30" s="672"/>
      <c r="WRJ30" s="672"/>
      <c r="WRK30" s="672"/>
      <c r="WRL30" s="672"/>
      <c r="WRM30" s="672"/>
      <c r="WRN30" s="672"/>
      <c r="WRO30" s="672"/>
      <c r="WRP30" s="672"/>
      <c r="WRQ30" s="672"/>
      <c r="WRR30" s="672"/>
      <c r="WRS30" s="672"/>
      <c r="WRT30" s="672"/>
      <c r="WRU30" s="672"/>
      <c r="WRV30" s="672"/>
      <c r="WRW30" s="672"/>
      <c r="WRX30" s="672"/>
      <c r="WRY30" s="672"/>
      <c r="WRZ30" s="672"/>
      <c r="WSA30" s="672"/>
      <c r="WSB30" s="672"/>
      <c r="WSC30" s="672"/>
      <c r="WSD30" s="672"/>
      <c r="WSE30" s="672"/>
      <c r="WSF30" s="672"/>
      <c r="WSG30" s="672"/>
      <c r="WSH30" s="672"/>
      <c r="WSI30" s="672"/>
      <c r="WSJ30" s="672"/>
      <c r="WSK30" s="672"/>
      <c r="WSL30" s="672"/>
      <c r="WSM30" s="672"/>
      <c r="WSN30" s="672"/>
      <c r="WSO30" s="672"/>
      <c r="WSP30" s="672"/>
      <c r="WSQ30" s="672"/>
      <c r="WSR30" s="672"/>
      <c r="WSS30" s="672"/>
      <c r="WST30" s="672"/>
      <c r="WSU30" s="672"/>
      <c r="WSV30" s="672"/>
      <c r="WSW30" s="672"/>
      <c r="WSX30" s="672"/>
      <c r="WSY30" s="672"/>
      <c r="WSZ30" s="672"/>
      <c r="WTA30" s="672"/>
      <c r="WTB30" s="672"/>
      <c r="WTC30" s="672"/>
      <c r="WTD30" s="672"/>
      <c r="WTE30" s="672"/>
      <c r="WTF30" s="672"/>
      <c r="WTG30" s="672"/>
      <c r="WTH30" s="672"/>
      <c r="WTI30" s="672"/>
      <c r="WTJ30" s="672"/>
      <c r="WTK30" s="672"/>
      <c r="WTL30" s="672"/>
      <c r="WTM30" s="672"/>
      <c r="WTN30" s="672"/>
      <c r="WTO30" s="672"/>
      <c r="WTP30" s="672"/>
      <c r="WTQ30" s="672"/>
      <c r="WTR30" s="672"/>
      <c r="WTS30" s="672"/>
      <c r="WTT30" s="672"/>
      <c r="WTU30" s="672"/>
      <c r="WTV30" s="672"/>
      <c r="WTW30" s="672"/>
      <c r="WTX30" s="672"/>
      <c r="WTY30" s="672"/>
      <c r="WTZ30" s="672"/>
      <c r="WUA30" s="672"/>
      <c r="WUB30" s="672"/>
      <c r="WUC30" s="672"/>
      <c r="WUD30" s="672"/>
      <c r="WUE30" s="672"/>
      <c r="WUF30" s="672"/>
      <c r="WUG30" s="672"/>
      <c r="WUH30" s="672"/>
      <c r="WUI30" s="672"/>
      <c r="WUJ30" s="672"/>
      <c r="WUK30" s="672"/>
      <c r="WUL30" s="672"/>
      <c r="WUM30" s="672"/>
      <c r="WUN30" s="672"/>
      <c r="WUO30" s="672"/>
      <c r="WUP30" s="672"/>
      <c r="WUQ30" s="672"/>
      <c r="WUR30" s="672"/>
      <c r="WUS30" s="672"/>
      <c r="WUT30" s="672"/>
      <c r="WUU30" s="672"/>
      <c r="WUV30" s="672"/>
      <c r="WUW30" s="672"/>
      <c r="WUX30" s="672"/>
      <c r="WUY30" s="672"/>
      <c r="WUZ30" s="672"/>
      <c r="WVA30" s="672"/>
      <c r="WVB30" s="672"/>
      <c r="WVC30" s="672"/>
      <c r="WVD30" s="672"/>
      <c r="WVE30" s="672"/>
      <c r="WVF30" s="672"/>
      <c r="WVG30" s="672"/>
      <c r="WVH30" s="672"/>
      <c r="WVI30" s="672"/>
      <c r="WVJ30" s="672"/>
      <c r="WVK30" s="672"/>
      <c r="WVL30" s="672"/>
      <c r="WVM30" s="672"/>
      <c r="WVN30" s="672"/>
      <c r="WVO30" s="672"/>
      <c r="WVP30" s="672"/>
      <c r="WVQ30" s="672"/>
      <c r="WVR30" s="672"/>
      <c r="WVS30" s="672"/>
      <c r="WVT30" s="672"/>
      <c r="WVU30" s="672"/>
      <c r="WVV30" s="672"/>
      <c r="WVW30" s="672"/>
      <c r="WVX30" s="672"/>
      <c r="WVY30" s="672"/>
      <c r="WVZ30" s="672"/>
      <c r="WWA30" s="672"/>
      <c r="WWB30" s="672"/>
      <c r="WWC30" s="672"/>
      <c r="WWD30" s="672"/>
      <c r="WWE30" s="672"/>
      <c r="WWF30" s="672"/>
      <c r="WWG30" s="672"/>
      <c r="WWH30" s="672"/>
      <c r="WWI30" s="672"/>
      <c r="WWJ30" s="672"/>
      <c r="WWK30" s="672"/>
      <c r="WWL30" s="672"/>
      <c r="WWM30" s="672"/>
      <c r="WWN30" s="672"/>
      <c r="WWO30" s="672"/>
      <c r="WWP30" s="672"/>
      <c r="WWQ30" s="672"/>
      <c r="WWR30" s="672"/>
      <c r="WWS30" s="672"/>
      <c r="WWT30" s="672"/>
      <c r="WWU30" s="672"/>
      <c r="WWV30" s="672"/>
      <c r="WWW30" s="672"/>
      <c r="WWX30" s="672"/>
      <c r="WWY30" s="672"/>
      <c r="WWZ30" s="672"/>
      <c r="WXA30" s="672"/>
      <c r="WXB30" s="672"/>
      <c r="WXC30" s="672"/>
      <c r="WXD30" s="672"/>
      <c r="WXE30" s="672"/>
      <c r="WXF30" s="672"/>
      <c r="WXG30" s="672"/>
      <c r="WXH30" s="672"/>
      <c r="WXI30" s="672"/>
      <c r="WXJ30" s="672"/>
      <c r="WXK30" s="672"/>
      <c r="WXL30" s="672"/>
      <c r="WXM30" s="672"/>
      <c r="WXN30" s="672"/>
      <c r="WXO30" s="672"/>
      <c r="WXP30" s="672"/>
      <c r="WXQ30" s="672"/>
      <c r="WXR30" s="672"/>
      <c r="WXS30" s="672"/>
      <c r="WXT30" s="672"/>
      <c r="WXU30" s="672"/>
      <c r="WXV30" s="672"/>
      <c r="WXW30" s="672"/>
      <c r="WXX30" s="672"/>
      <c r="WXY30" s="672"/>
      <c r="WXZ30" s="672"/>
      <c r="WYA30" s="672"/>
      <c r="WYB30" s="672"/>
      <c r="WYC30" s="672"/>
      <c r="WYD30" s="672"/>
      <c r="WYE30" s="672"/>
      <c r="WYF30" s="672"/>
      <c r="WYG30" s="672"/>
      <c r="WYH30" s="672"/>
      <c r="WYI30" s="672"/>
      <c r="WYJ30" s="672"/>
      <c r="WYK30" s="672"/>
      <c r="WYL30" s="672"/>
      <c r="WYM30" s="672"/>
      <c r="WYN30" s="672"/>
      <c r="WYO30" s="672"/>
      <c r="WYP30" s="672"/>
      <c r="WYQ30" s="672"/>
      <c r="WYR30" s="672"/>
      <c r="WYS30" s="672"/>
      <c r="WYT30" s="672"/>
      <c r="WYU30" s="672"/>
      <c r="WYV30" s="672"/>
      <c r="WYW30" s="672"/>
      <c r="WYX30" s="672"/>
      <c r="WYY30" s="672"/>
      <c r="WYZ30" s="672"/>
      <c r="WZA30" s="672"/>
      <c r="WZB30" s="672"/>
      <c r="WZC30" s="672"/>
      <c r="WZD30" s="672"/>
      <c r="WZE30" s="672"/>
      <c r="WZF30" s="672"/>
      <c r="WZG30" s="672"/>
      <c r="WZH30" s="672"/>
      <c r="WZI30" s="672"/>
      <c r="WZJ30" s="672"/>
      <c r="WZK30" s="672"/>
      <c r="WZL30" s="672"/>
      <c r="WZM30" s="672"/>
      <c r="WZN30" s="672"/>
      <c r="WZO30" s="672"/>
      <c r="WZP30" s="672"/>
      <c r="WZQ30" s="672"/>
      <c r="WZR30" s="672"/>
      <c r="WZS30" s="672"/>
      <c r="WZT30" s="672"/>
      <c r="WZU30" s="672"/>
      <c r="WZV30" s="672"/>
      <c r="WZW30" s="672"/>
      <c r="WZX30" s="672"/>
      <c r="WZY30" s="672"/>
      <c r="WZZ30" s="672"/>
      <c r="XAA30" s="672"/>
      <c r="XAB30" s="672"/>
      <c r="XAC30" s="672"/>
      <c r="XAD30" s="672"/>
      <c r="XAE30" s="672"/>
      <c r="XAF30" s="672"/>
      <c r="XAG30" s="672"/>
      <c r="XAH30" s="672"/>
      <c r="XAI30" s="672"/>
      <c r="XAJ30" s="672"/>
      <c r="XAK30" s="672"/>
      <c r="XAL30" s="672"/>
      <c r="XAM30" s="672"/>
      <c r="XAN30" s="672"/>
      <c r="XAO30" s="672"/>
      <c r="XAP30" s="672"/>
      <c r="XAQ30" s="672"/>
      <c r="XAR30" s="672"/>
      <c r="XAS30" s="672"/>
      <c r="XAT30" s="672"/>
      <c r="XAU30" s="672"/>
      <c r="XAV30" s="672"/>
      <c r="XAW30" s="672"/>
      <c r="XAX30" s="672"/>
      <c r="XAY30" s="672"/>
      <c r="XAZ30" s="672"/>
      <c r="XBA30" s="672"/>
      <c r="XBB30" s="672"/>
      <c r="XBC30" s="672"/>
      <c r="XBD30" s="672"/>
      <c r="XBE30" s="672"/>
      <c r="XBF30" s="672"/>
      <c r="XBG30" s="672"/>
      <c r="XBH30" s="672"/>
      <c r="XBI30" s="672"/>
      <c r="XBJ30" s="672"/>
      <c r="XBK30" s="672"/>
      <c r="XBL30" s="672"/>
      <c r="XBM30" s="672"/>
      <c r="XBN30" s="672"/>
      <c r="XBO30" s="672"/>
      <c r="XBP30" s="672"/>
      <c r="XBQ30" s="672"/>
      <c r="XBR30" s="672"/>
      <c r="XBS30" s="672"/>
      <c r="XBT30" s="672"/>
      <c r="XBU30" s="672"/>
      <c r="XBV30" s="672"/>
      <c r="XBW30" s="672"/>
      <c r="XBX30" s="672"/>
      <c r="XBY30" s="672"/>
      <c r="XBZ30" s="672"/>
      <c r="XCA30" s="672"/>
      <c r="XCB30" s="672"/>
      <c r="XCC30" s="672"/>
      <c r="XCD30" s="672"/>
      <c r="XCE30" s="672"/>
      <c r="XCF30" s="672"/>
      <c r="XCG30" s="672"/>
      <c r="XCH30" s="672"/>
      <c r="XCI30" s="672"/>
      <c r="XCJ30" s="672"/>
      <c r="XCK30" s="672"/>
      <c r="XCL30" s="672"/>
      <c r="XCM30" s="672"/>
      <c r="XCN30" s="672"/>
      <c r="XCO30" s="672"/>
      <c r="XCP30" s="672"/>
      <c r="XCQ30" s="672"/>
      <c r="XCR30" s="672"/>
      <c r="XCS30" s="672"/>
      <c r="XCT30" s="672"/>
      <c r="XCU30" s="672"/>
      <c r="XCV30" s="672"/>
      <c r="XCW30" s="672"/>
      <c r="XCX30" s="672"/>
      <c r="XCY30" s="672"/>
      <c r="XCZ30" s="672"/>
      <c r="XDA30" s="672"/>
      <c r="XDB30" s="672"/>
      <c r="XDC30" s="672"/>
      <c r="XDD30" s="672"/>
      <c r="XDE30" s="672"/>
      <c r="XDF30" s="672"/>
      <c r="XDG30" s="672"/>
      <c r="XDH30" s="672"/>
      <c r="XDI30" s="672"/>
      <c r="XDJ30" s="672"/>
      <c r="XDK30" s="672"/>
      <c r="XDL30" s="672"/>
      <c r="XDM30" s="672"/>
      <c r="XDN30" s="672"/>
      <c r="XDO30" s="672"/>
      <c r="XDP30" s="672"/>
      <c r="XDQ30" s="672"/>
      <c r="XDR30" s="672"/>
      <c r="XDS30" s="672"/>
      <c r="XDT30" s="672"/>
      <c r="XDU30" s="672"/>
      <c r="XDV30" s="672"/>
      <c r="XDW30" s="672"/>
      <c r="XDX30" s="672"/>
      <c r="XDY30" s="672"/>
      <c r="XDZ30" s="672"/>
      <c r="XEA30" s="672"/>
      <c r="XEB30" s="672"/>
      <c r="XEC30" s="672"/>
      <c r="XED30" s="672"/>
      <c r="XEE30" s="672"/>
      <c r="XEF30" s="672"/>
      <c r="XEG30" s="672"/>
      <c r="XEH30" s="672"/>
      <c r="XEI30" s="672"/>
      <c r="XEJ30" s="672"/>
      <c r="XEK30" s="672"/>
      <c r="XEL30" s="672"/>
      <c r="XEM30" s="672"/>
      <c r="XEN30" s="672"/>
      <c r="XEO30" s="672"/>
      <c r="XEP30" s="672"/>
      <c r="XEQ30" s="672"/>
      <c r="XER30" s="672"/>
      <c r="XES30" s="672"/>
      <c r="XET30" s="672"/>
      <c r="XEU30" s="672"/>
      <c r="XEV30" s="672"/>
      <c r="XEW30" s="672"/>
      <c r="XEX30" s="672"/>
      <c r="XEY30" s="672"/>
      <c r="XEZ30" s="672"/>
      <c r="XFA30" s="672"/>
      <c r="XFB30" s="672"/>
      <c r="XFC30" s="672"/>
      <c r="XFD30" s="672"/>
    </row>
    <row r="31" spans="1:16384" s="760" customFormat="1" ht="41.15" customHeight="1" x14ac:dyDescent="0.35">
      <c r="A31" s="794"/>
      <c r="B31" s="795"/>
      <c r="C31" s="795"/>
      <c r="D31" s="795"/>
      <c r="E31" s="795"/>
      <c r="F31" s="795"/>
      <c r="G31" s="795"/>
      <c r="H31" s="796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5"/>
      <c r="U31" s="25"/>
      <c r="V31" s="672"/>
      <c r="W31" s="672"/>
      <c r="X31" s="672"/>
      <c r="Y31" s="672"/>
      <c r="Z31" s="672"/>
      <c r="AA31" s="672"/>
      <c r="AB31" s="672"/>
      <c r="AC31" s="672"/>
      <c r="AD31" s="672"/>
      <c r="AE31" s="672"/>
      <c r="AF31" s="672"/>
      <c r="AG31" s="672"/>
      <c r="AH31" s="672"/>
      <c r="AI31" s="672"/>
      <c r="AJ31" s="672"/>
      <c r="AK31" s="672"/>
      <c r="AL31" s="672"/>
      <c r="AM31" s="672"/>
      <c r="AN31" s="672"/>
      <c r="AO31" s="672"/>
      <c r="AP31" s="672"/>
      <c r="AQ31" s="672"/>
      <c r="AR31" s="672"/>
      <c r="AS31" s="672"/>
      <c r="AT31" s="672"/>
      <c r="AU31" s="672"/>
      <c r="AV31" s="672"/>
      <c r="AW31" s="672"/>
      <c r="AX31" s="672"/>
      <c r="AY31" s="672"/>
      <c r="AZ31" s="672"/>
      <c r="BA31" s="672"/>
      <c r="BB31" s="672"/>
      <c r="BC31" s="672"/>
      <c r="BD31" s="672"/>
      <c r="BE31" s="672"/>
      <c r="BF31" s="672"/>
      <c r="BG31" s="672"/>
      <c r="BH31" s="672"/>
      <c r="BI31" s="672"/>
      <c r="BJ31" s="672"/>
      <c r="BK31" s="672"/>
      <c r="BL31" s="672"/>
      <c r="BM31" s="672"/>
      <c r="BN31" s="672"/>
      <c r="BO31" s="672"/>
      <c r="BP31" s="672"/>
      <c r="BQ31" s="672"/>
      <c r="BR31" s="672"/>
      <c r="BS31" s="672"/>
      <c r="BT31" s="672"/>
      <c r="BU31" s="672"/>
      <c r="BV31" s="672"/>
      <c r="BW31" s="672"/>
      <c r="BX31" s="672"/>
      <c r="BY31" s="672"/>
      <c r="BZ31" s="672"/>
      <c r="CA31" s="672"/>
      <c r="CB31" s="672"/>
      <c r="CC31" s="672"/>
      <c r="CD31" s="672"/>
      <c r="CE31" s="672"/>
      <c r="CF31" s="672"/>
      <c r="CG31" s="672"/>
      <c r="CH31" s="672"/>
      <c r="CI31" s="672"/>
      <c r="CJ31" s="672"/>
      <c r="CK31" s="672"/>
      <c r="CL31" s="672"/>
      <c r="CM31" s="672"/>
      <c r="CN31" s="672"/>
      <c r="CO31" s="672"/>
      <c r="CP31" s="672"/>
      <c r="CQ31" s="672"/>
      <c r="CR31" s="672"/>
      <c r="CS31" s="672"/>
      <c r="CT31" s="672"/>
      <c r="CU31" s="672"/>
      <c r="CV31" s="672"/>
      <c r="CW31" s="672"/>
      <c r="CX31" s="672"/>
      <c r="CY31" s="672"/>
      <c r="CZ31" s="672"/>
      <c r="DA31" s="672"/>
      <c r="DB31" s="672"/>
      <c r="DC31" s="672"/>
      <c r="DD31" s="672"/>
      <c r="DE31" s="672"/>
      <c r="DF31" s="672"/>
      <c r="DG31" s="672"/>
      <c r="DH31" s="672"/>
      <c r="DI31" s="672"/>
      <c r="DJ31" s="672"/>
      <c r="DK31" s="672"/>
      <c r="DL31" s="672"/>
      <c r="DM31" s="672"/>
      <c r="DN31" s="672"/>
      <c r="DO31" s="672"/>
      <c r="DP31" s="672"/>
      <c r="DQ31" s="672"/>
      <c r="DR31" s="672"/>
      <c r="DS31" s="672"/>
      <c r="DT31" s="672"/>
      <c r="DU31" s="672"/>
      <c r="DV31" s="672"/>
      <c r="DW31" s="672"/>
      <c r="DX31" s="672"/>
      <c r="DY31" s="672"/>
      <c r="DZ31" s="672"/>
      <c r="EA31" s="672"/>
      <c r="EB31" s="672"/>
      <c r="EC31" s="672"/>
      <c r="ED31" s="672"/>
      <c r="EE31" s="672"/>
      <c r="EF31" s="672"/>
      <c r="EG31" s="672"/>
      <c r="EH31" s="672"/>
      <c r="EI31" s="672"/>
      <c r="EJ31" s="672"/>
      <c r="EK31" s="672"/>
      <c r="EL31" s="672"/>
      <c r="EM31" s="672"/>
      <c r="EN31" s="672"/>
      <c r="EO31" s="672"/>
      <c r="EP31" s="672"/>
      <c r="EQ31" s="672"/>
      <c r="ER31" s="672"/>
      <c r="ES31" s="672"/>
      <c r="ET31" s="672"/>
      <c r="EU31" s="672"/>
      <c r="EV31" s="672"/>
      <c r="EW31" s="672"/>
      <c r="EX31" s="672"/>
      <c r="EY31" s="672"/>
      <c r="EZ31" s="672"/>
      <c r="FA31" s="672"/>
      <c r="FB31" s="672"/>
      <c r="FC31" s="672"/>
      <c r="FD31" s="672"/>
      <c r="FE31" s="672"/>
      <c r="FF31" s="672"/>
      <c r="FG31" s="672"/>
      <c r="FH31" s="672"/>
      <c r="FI31" s="672"/>
      <c r="FJ31" s="672"/>
      <c r="FK31" s="672"/>
      <c r="FL31" s="672"/>
      <c r="FM31" s="672"/>
      <c r="FN31" s="672"/>
      <c r="FO31" s="672"/>
      <c r="FP31" s="672"/>
      <c r="FQ31" s="672"/>
      <c r="FR31" s="672"/>
      <c r="FS31" s="672"/>
      <c r="FT31" s="672"/>
      <c r="FU31" s="672"/>
      <c r="FV31" s="672"/>
      <c r="FW31" s="672"/>
      <c r="FX31" s="672"/>
      <c r="FY31" s="672"/>
      <c r="FZ31" s="672"/>
      <c r="GA31" s="672"/>
      <c r="GB31" s="672"/>
      <c r="GC31" s="672"/>
      <c r="GD31" s="672"/>
      <c r="GE31" s="672"/>
      <c r="GF31" s="672"/>
      <c r="GG31" s="672"/>
      <c r="GH31" s="672"/>
      <c r="GI31" s="672"/>
      <c r="GJ31" s="672"/>
      <c r="GK31" s="672"/>
      <c r="GL31" s="672"/>
      <c r="GM31" s="672"/>
      <c r="GN31" s="672"/>
      <c r="GO31" s="672"/>
      <c r="GP31" s="672"/>
      <c r="GQ31" s="672"/>
      <c r="GR31" s="672"/>
      <c r="GS31" s="672"/>
      <c r="GT31" s="672"/>
      <c r="GU31" s="672"/>
      <c r="GV31" s="672"/>
      <c r="GW31" s="672"/>
      <c r="GX31" s="672"/>
      <c r="GY31" s="672"/>
      <c r="GZ31" s="672"/>
      <c r="HA31" s="672"/>
      <c r="HB31" s="672"/>
      <c r="HC31" s="672"/>
      <c r="HD31" s="672"/>
      <c r="HE31" s="672"/>
      <c r="HF31" s="672"/>
      <c r="HG31" s="672"/>
      <c r="HH31" s="672"/>
      <c r="HI31" s="672"/>
      <c r="HJ31" s="672"/>
      <c r="HK31" s="672"/>
      <c r="HL31" s="672"/>
      <c r="HM31" s="672"/>
      <c r="HN31" s="672"/>
      <c r="HO31" s="672"/>
      <c r="HP31" s="672"/>
      <c r="HQ31" s="672"/>
      <c r="HR31" s="672"/>
      <c r="HS31" s="672"/>
      <c r="HT31" s="672"/>
      <c r="HU31" s="672"/>
      <c r="HV31" s="672"/>
      <c r="HW31" s="672"/>
      <c r="HX31" s="672"/>
      <c r="HY31" s="672"/>
      <c r="HZ31" s="672"/>
      <c r="IA31" s="672"/>
      <c r="IB31" s="672"/>
      <c r="IC31" s="672"/>
      <c r="ID31" s="672"/>
      <c r="IE31" s="672"/>
      <c r="IF31" s="672"/>
      <c r="IG31" s="672"/>
      <c r="IH31" s="672"/>
      <c r="II31" s="672"/>
      <c r="IJ31" s="672"/>
      <c r="IK31" s="672"/>
      <c r="IL31" s="672"/>
      <c r="IM31" s="672"/>
      <c r="IN31" s="672"/>
      <c r="IO31" s="672"/>
      <c r="IP31" s="672"/>
      <c r="IQ31" s="672"/>
      <c r="IR31" s="672"/>
      <c r="IS31" s="672"/>
      <c r="IT31" s="672"/>
      <c r="IU31" s="672"/>
      <c r="IV31" s="672"/>
      <c r="IW31" s="672"/>
      <c r="IX31" s="672"/>
      <c r="IY31" s="672"/>
      <c r="IZ31" s="672"/>
      <c r="JA31" s="672"/>
      <c r="JB31" s="672"/>
      <c r="JC31" s="672"/>
      <c r="JD31" s="672"/>
      <c r="JE31" s="672"/>
      <c r="JF31" s="672"/>
      <c r="JG31" s="672"/>
      <c r="JH31" s="672"/>
      <c r="JI31" s="672"/>
      <c r="JJ31" s="672"/>
      <c r="JK31" s="672"/>
      <c r="JL31" s="672"/>
      <c r="JM31" s="672"/>
      <c r="JN31" s="672"/>
      <c r="JO31" s="672"/>
      <c r="JP31" s="672"/>
      <c r="JQ31" s="672"/>
      <c r="JR31" s="672"/>
      <c r="JS31" s="672"/>
      <c r="JT31" s="672"/>
      <c r="JU31" s="672"/>
      <c r="JV31" s="672"/>
      <c r="JW31" s="672"/>
      <c r="JX31" s="672"/>
      <c r="JY31" s="672"/>
      <c r="JZ31" s="672"/>
      <c r="KA31" s="672"/>
      <c r="KB31" s="672"/>
      <c r="KC31" s="672"/>
      <c r="KD31" s="672"/>
      <c r="KE31" s="672"/>
      <c r="KF31" s="672"/>
      <c r="KG31" s="672"/>
      <c r="KH31" s="672"/>
      <c r="KI31" s="672"/>
      <c r="KJ31" s="672"/>
      <c r="KK31" s="672"/>
      <c r="KL31" s="672"/>
      <c r="KM31" s="672"/>
      <c r="KN31" s="672"/>
      <c r="KO31" s="672"/>
      <c r="KP31" s="672"/>
      <c r="KQ31" s="672"/>
      <c r="KR31" s="672"/>
      <c r="KS31" s="672"/>
      <c r="KT31" s="672"/>
      <c r="KU31" s="672"/>
      <c r="KV31" s="672"/>
      <c r="KW31" s="672"/>
      <c r="KX31" s="672"/>
      <c r="KY31" s="672"/>
      <c r="KZ31" s="672"/>
      <c r="LA31" s="672"/>
      <c r="LB31" s="672"/>
      <c r="LC31" s="672"/>
      <c r="LD31" s="672"/>
      <c r="LE31" s="672"/>
      <c r="LF31" s="672"/>
      <c r="LG31" s="672"/>
      <c r="LH31" s="672"/>
      <c r="LI31" s="672"/>
      <c r="LJ31" s="672"/>
      <c r="LK31" s="672"/>
      <c r="LL31" s="672"/>
      <c r="LM31" s="672"/>
      <c r="LN31" s="672"/>
      <c r="LO31" s="672"/>
      <c r="LP31" s="672"/>
      <c r="LQ31" s="672"/>
      <c r="LR31" s="672"/>
      <c r="LS31" s="672"/>
      <c r="LT31" s="672"/>
      <c r="LU31" s="672"/>
      <c r="LV31" s="672"/>
      <c r="LW31" s="672"/>
      <c r="LX31" s="672"/>
      <c r="LY31" s="672"/>
      <c r="LZ31" s="672"/>
      <c r="MA31" s="672"/>
      <c r="MB31" s="672"/>
      <c r="MC31" s="672"/>
      <c r="MD31" s="672"/>
      <c r="ME31" s="672"/>
      <c r="MF31" s="672"/>
      <c r="MG31" s="672"/>
      <c r="MH31" s="672"/>
      <c r="MI31" s="672"/>
      <c r="MJ31" s="672"/>
      <c r="MK31" s="672"/>
      <c r="ML31" s="672"/>
      <c r="MM31" s="672"/>
      <c r="MN31" s="672"/>
      <c r="MO31" s="672"/>
      <c r="MP31" s="672"/>
      <c r="MQ31" s="672"/>
      <c r="MR31" s="672"/>
      <c r="MS31" s="672"/>
      <c r="MT31" s="672"/>
      <c r="MU31" s="672"/>
      <c r="MV31" s="672"/>
      <c r="MW31" s="672"/>
      <c r="MX31" s="672"/>
      <c r="MY31" s="672"/>
      <c r="MZ31" s="672"/>
      <c r="NA31" s="672"/>
      <c r="NB31" s="672"/>
      <c r="NC31" s="672"/>
      <c r="ND31" s="672"/>
      <c r="NE31" s="672"/>
      <c r="NF31" s="672"/>
      <c r="NG31" s="672"/>
      <c r="NH31" s="672"/>
      <c r="NI31" s="672"/>
      <c r="NJ31" s="672"/>
      <c r="NK31" s="672"/>
      <c r="NL31" s="672"/>
      <c r="NM31" s="672"/>
      <c r="NN31" s="672"/>
      <c r="NO31" s="672"/>
      <c r="NP31" s="672"/>
      <c r="NQ31" s="672"/>
      <c r="NR31" s="672"/>
      <c r="NS31" s="672"/>
      <c r="NT31" s="672"/>
      <c r="NU31" s="672"/>
      <c r="NV31" s="672"/>
      <c r="NW31" s="672"/>
      <c r="NX31" s="672"/>
      <c r="NY31" s="672"/>
      <c r="NZ31" s="672"/>
      <c r="OA31" s="672"/>
      <c r="OB31" s="672"/>
      <c r="OC31" s="672"/>
      <c r="OD31" s="672"/>
      <c r="OE31" s="672"/>
      <c r="OF31" s="672"/>
      <c r="OG31" s="672"/>
      <c r="OH31" s="672"/>
      <c r="OI31" s="672"/>
      <c r="OJ31" s="672"/>
      <c r="OK31" s="672"/>
      <c r="OL31" s="672"/>
      <c r="OM31" s="672"/>
      <c r="ON31" s="672"/>
      <c r="OO31" s="672"/>
      <c r="OP31" s="672"/>
      <c r="OQ31" s="672"/>
      <c r="OR31" s="672"/>
      <c r="OS31" s="672"/>
      <c r="OT31" s="672"/>
      <c r="OU31" s="672"/>
      <c r="OV31" s="672"/>
      <c r="OW31" s="672"/>
      <c r="OX31" s="672"/>
      <c r="OY31" s="672"/>
      <c r="OZ31" s="672"/>
      <c r="PA31" s="672"/>
      <c r="PB31" s="672"/>
      <c r="PC31" s="672"/>
      <c r="PD31" s="672"/>
      <c r="PE31" s="672"/>
      <c r="PF31" s="672"/>
      <c r="PG31" s="672"/>
      <c r="PH31" s="672"/>
      <c r="PI31" s="672"/>
      <c r="PJ31" s="672"/>
      <c r="PK31" s="672"/>
      <c r="PL31" s="672"/>
      <c r="PM31" s="672"/>
      <c r="PN31" s="672"/>
      <c r="PO31" s="672"/>
      <c r="PP31" s="672"/>
      <c r="PQ31" s="672"/>
      <c r="PR31" s="672"/>
      <c r="PS31" s="672"/>
      <c r="PT31" s="672"/>
      <c r="PU31" s="672"/>
      <c r="PV31" s="672"/>
      <c r="PW31" s="672"/>
      <c r="PX31" s="672"/>
      <c r="PY31" s="672"/>
      <c r="PZ31" s="672"/>
      <c r="QA31" s="672"/>
      <c r="QB31" s="672"/>
      <c r="QC31" s="672"/>
      <c r="QD31" s="672"/>
      <c r="QE31" s="672"/>
      <c r="QF31" s="672"/>
      <c r="QG31" s="672"/>
      <c r="QH31" s="672"/>
      <c r="QI31" s="672"/>
      <c r="QJ31" s="672"/>
      <c r="QK31" s="672"/>
      <c r="QL31" s="672"/>
      <c r="QM31" s="672"/>
      <c r="QN31" s="672"/>
      <c r="QO31" s="672"/>
      <c r="QP31" s="672"/>
      <c r="QQ31" s="672"/>
      <c r="QR31" s="672"/>
      <c r="QS31" s="672"/>
      <c r="QT31" s="672"/>
      <c r="QU31" s="672"/>
      <c r="QV31" s="672"/>
      <c r="QW31" s="672"/>
      <c r="QX31" s="672"/>
      <c r="QY31" s="672"/>
      <c r="QZ31" s="672"/>
      <c r="RA31" s="672"/>
      <c r="RB31" s="672"/>
      <c r="RC31" s="672"/>
      <c r="RD31" s="672"/>
      <c r="RE31" s="672"/>
      <c r="RF31" s="672"/>
      <c r="RG31" s="672"/>
      <c r="RH31" s="672"/>
      <c r="RI31" s="672"/>
      <c r="RJ31" s="672"/>
      <c r="RK31" s="672"/>
      <c r="RL31" s="672"/>
      <c r="RM31" s="672"/>
      <c r="RN31" s="672"/>
      <c r="RO31" s="672"/>
      <c r="RP31" s="672"/>
      <c r="RQ31" s="672"/>
      <c r="RR31" s="672"/>
      <c r="RS31" s="672"/>
      <c r="RT31" s="672"/>
      <c r="RU31" s="672"/>
      <c r="RV31" s="672"/>
      <c r="RW31" s="672"/>
      <c r="RX31" s="672"/>
      <c r="RY31" s="672"/>
      <c r="RZ31" s="672"/>
      <c r="SA31" s="672"/>
      <c r="SB31" s="672"/>
      <c r="SC31" s="672"/>
      <c r="SD31" s="672"/>
      <c r="SE31" s="672"/>
      <c r="SF31" s="672"/>
      <c r="SG31" s="672"/>
      <c r="SH31" s="672"/>
      <c r="SI31" s="672"/>
      <c r="SJ31" s="672"/>
      <c r="SK31" s="672"/>
      <c r="SL31" s="672"/>
      <c r="SM31" s="672"/>
      <c r="SN31" s="672"/>
      <c r="SO31" s="672"/>
      <c r="SP31" s="672"/>
      <c r="SQ31" s="672"/>
      <c r="SR31" s="672"/>
      <c r="SS31" s="672"/>
      <c r="ST31" s="672"/>
      <c r="SU31" s="672"/>
      <c r="SV31" s="672"/>
      <c r="SW31" s="672"/>
      <c r="SX31" s="672"/>
      <c r="SY31" s="672"/>
      <c r="SZ31" s="672"/>
      <c r="TA31" s="672"/>
      <c r="TB31" s="672"/>
      <c r="TC31" s="672"/>
      <c r="TD31" s="672"/>
      <c r="TE31" s="672"/>
      <c r="TF31" s="672"/>
      <c r="TG31" s="672"/>
      <c r="TH31" s="672"/>
      <c r="TI31" s="672"/>
      <c r="TJ31" s="672"/>
      <c r="TK31" s="672"/>
      <c r="TL31" s="672"/>
      <c r="TM31" s="672"/>
      <c r="TN31" s="672"/>
      <c r="TO31" s="672"/>
      <c r="TP31" s="672"/>
      <c r="TQ31" s="672"/>
      <c r="TR31" s="672"/>
      <c r="TS31" s="672"/>
      <c r="TT31" s="672"/>
      <c r="TU31" s="672"/>
      <c r="TV31" s="672"/>
      <c r="TW31" s="672"/>
      <c r="TX31" s="672"/>
      <c r="TY31" s="672"/>
      <c r="TZ31" s="672"/>
      <c r="UA31" s="672"/>
      <c r="UB31" s="672"/>
      <c r="UC31" s="672"/>
      <c r="UD31" s="672"/>
      <c r="UE31" s="672"/>
      <c r="UF31" s="672"/>
      <c r="UG31" s="672"/>
      <c r="UH31" s="672"/>
      <c r="UI31" s="672"/>
      <c r="UJ31" s="672"/>
      <c r="UK31" s="672"/>
      <c r="UL31" s="672"/>
      <c r="UM31" s="672"/>
      <c r="UN31" s="672"/>
      <c r="UO31" s="672"/>
      <c r="UP31" s="672"/>
      <c r="UQ31" s="672"/>
      <c r="UR31" s="672"/>
      <c r="US31" s="672"/>
      <c r="UT31" s="672"/>
      <c r="UU31" s="672"/>
      <c r="UV31" s="672"/>
      <c r="UW31" s="672"/>
      <c r="UX31" s="672"/>
      <c r="UY31" s="672"/>
      <c r="UZ31" s="672"/>
      <c r="VA31" s="672"/>
      <c r="VB31" s="672"/>
      <c r="VC31" s="672"/>
      <c r="VD31" s="672"/>
      <c r="VE31" s="672"/>
      <c r="VF31" s="672"/>
      <c r="VG31" s="672"/>
      <c r="VH31" s="672"/>
      <c r="VI31" s="672"/>
      <c r="VJ31" s="672"/>
      <c r="VK31" s="672"/>
      <c r="VL31" s="672"/>
      <c r="VM31" s="672"/>
      <c r="VN31" s="672"/>
      <c r="VO31" s="672"/>
      <c r="VP31" s="672"/>
      <c r="VQ31" s="672"/>
      <c r="VR31" s="672"/>
      <c r="VS31" s="672"/>
      <c r="VT31" s="672"/>
      <c r="VU31" s="672"/>
      <c r="VV31" s="672"/>
      <c r="VW31" s="672"/>
      <c r="VX31" s="672"/>
      <c r="VY31" s="672"/>
      <c r="VZ31" s="672"/>
      <c r="WA31" s="672"/>
      <c r="WB31" s="672"/>
      <c r="WC31" s="672"/>
      <c r="WD31" s="672"/>
      <c r="WE31" s="672"/>
      <c r="WF31" s="672"/>
      <c r="WG31" s="672"/>
      <c r="WH31" s="672"/>
      <c r="WI31" s="672"/>
      <c r="WJ31" s="672"/>
      <c r="WK31" s="672"/>
      <c r="WL31" s="672"/>
      <c r="WM31" s="672"/>
      <c r="WN31" s="672"/>
      <c r="WO31" s="672"/>
      <c r="WP31" s="672"/>
      <c r="WQ31" s="672"/>
      <c r="WR31" s="672"/>
      <c r="WS31" s="672"/>
      <c r="WT31" s="672"/>
      <c r="WU31" s="672"/>
      <c r="WV31" s="672"/>
      <c r="WW31" s="672"/>
      <c r="WX31" s="672"/>
      <c r="WY31" s="672"/>
      <c r="WZ31" s="672"/>
      <c r="XA31" s="672"/>
      <c r="XB31" s="672"/>
      <c r="XC31" s="672"/>
      <c r="XD31" s="672"/>
      <c r="XE31" s="672"/>
      <c r="XF31" s="672"/>
      <c r="XG31" s="672"/>
      <c r="XH31" s="672"/>
      <c r="XI31" s="672"/>
      <c r="XJ31" s="672"/>
      <c r="XK31" s="672"/>
      <c r="XL31" s="672"/>
      <c r="XM31" s="672"/>
      <c r="XN31" s="672"/>
      <c r="XO31" s="672"/>
      <c r="XP31" s="672"/>
      <c r="XQ31" s="672"/>
      <c r="XR31" s="672"/>
      <c r="XS31" s="672"/>
      <c r="XT31" s="672"/>
      <c r="XU31" s="672"/>
      <c r="XV31" s="672"/>
      <c r="XW31" s="672"/>
      <c r="XX31" s="672"/>
      <c r="XY31" s="672"/>
      <c r="XZ31" s="672"/>
      <c r="YA31" s="672"/>
      <c r="YB31" s="672"/>
      <c r="YC31" s="672"/>
      <c r="YD31" s="672"/>
      <c r="YE31" s="672"/>
      <c r="YF31" s="672"/>
      <c r="YG31" s="672"/>
      <c r="YH31" s="672"/>
      <c r="YI31" s="672"/>
      <c r="YJ31" s="672"/>
      <c r="YK31" s="672"/>
      <c r="YL31" s="672"/>
      <c r="YM31" s="672"/>
      <c r="YN31" s="672"/>
      <c r="YO31" s="672"/>
      <c r="YP31" s="672"/>
      <c r="YQ31" s="672"/>
      <c r="YR31" s="672"/>
      <c r="YS31" s="672"/>
      <c r="YT31" s="672"/>
      <c r="YU31" s="672"/>
      <c r="YV31" s="672"/>
      <c r="YW31" s="672"/>
      <c r="YX31" s="672"/>
      <c r="YY31" s="672"/>
      <c r="YZ31" s="672"/>
      <c r="ZA31" s="672"/>
      <c r="ZB31" s="672"/>
      <c r="ZC31" s="672"/>
      <c r="ZD31" s="672"/>
      <c r="ZE31" s="672"/>
      <c r="ZF31" s="672"/>
      <c r="ZG31" s="672"/>
      <c r="ZH31" s="672"/>
      <c r="ZI31" s="672"/>
      <c r="ZJ31" s="672"/>
      <c r="ZK31" s="672"/>
      <c r="ZL31" s="672"/>
      <c r="ZM31" s="672"/>
      <c r="ZN31" s="672"/>
      <c r="ZO31" s="672"/>
      <c r="ZP31" s="672"/>
      <c r="ZQ31" s="672"/>
      <c r="ZR31" s="672"/>
      <c r="ZS31" s="672"/>
      <c r="ZT31" s="672"/>
      <c r="ZU31" s="672"/>
      <c r="ZV31" s="672"/>
      <c r="ZW31" s="672"/>
      <c r="ZX31" s="672"/>
      <c r="ZY31" s="672"/>
      <c r="ZZ31" s="672"/>
      <c r="AAA31" s="672"/>
      <c r="AAB31" s="672"/>
      <c r="AAC31" s="672"/>
      <c r="AAD31" s="672"/>
      <c r="AAE31" s="672"/>
      <c r="AAF31" s="672"/>
      <c r="AAG31" s="672"/>
      <c r="AAH31" s="672"/>
      <c r="AAI31" s="672"/>
      <c r="AAJ31" s="672"/>
      <c r="AAK31" s="672"/>
      <c r="AAL31" s="672"/>
      <c r="AAM31" s="672"/>
      <c r="AAN31" s="672"/>
      <c r="AAO31" s="672"/>
      <c r="AAP31" s="672"/>
      <c r="AAQ31" s="672"/>
      <c r="AAR31" s="672"/>
      <c r="AAS31" s="672"/>
      <c r="AAT31" s="672"/>
      <c r="AAU31" s="672"/>
      <c r="AAV31" s="672"/>
      <c r="AAW31" s="672"/>
      <c r="AAX31" s="672"/>
      <c r="AAY31" s="672"/>
      <c r="AAZ31" s="672"/>
      <c r="ABA31" s="672"/>
      <c r="ABB31" s="672"/>
      <c r="ABC31" s="672"/>
      <c r="ABD31" s="672"/>
      <c r="ABE31" s="672"/>
      <c r="ABF31" s="672"/>
      <c r="ABG31" s="672"/>
      <c r="ABH31" s="672"/>
      <c r="ABI31" s="672"/>
      <c r="ABJ31" s="672"/>
      <c r="ABK31" s="672"/>
      <c r="ABL31" s="672"/>
      <c r="ABM31" s="672"/>
      <c r="ABN31" s="672"/>
      <c r="ABO31" s="672"/>
      <c r="ABP31" s="672"/>
      <c r="ABQ31" s="672"/>
      <c r="ABR31" s="672"/>
      <c r="ABS31" s="672"/>
      <c r="ABT31" s="672"/>
      <c r="ABU31" s="672"/>
      <c r="ABV31" s="672"/>
      <c r="ABW31" s="672"/>
      <c r="ABX31" s="672"/>
      <c r="ABY31" s="672"/>
      <c r="ABZ31" s="672"/>
      <c r="ACA31" s="672"/>
      <c r="ACB31" s="672"/>
      <c r="ACC31" s="672"/>
      <c r="ACD31" s="672"/>
      <c r="ACE31" s="672"/>
      <c r="ACF31" s="672"/>
      <c r="ACG31" s="672"/>
      <c r="ACH31" s="672"/>
      <c r="ACI31" s="672"/>
      <c r="ACJ31" s="672"/>
      <c r="ACK31" s="672"/>
      <c r="ACL31" s="672"/>
      <c r="ACM31" s="672"/>
      <c r="ACN31" s="672"/>
      <c r="ACO31" s="672"/>
      <c r="ACP31" s="672"/>
      <c r="ACQ31" s="672"/>
      <c r="ACR31" s="672"/>
      <c r="ACS31" s="672"/>
      <c r="ACT31" s="672"/>
      <c r="ACU31" s="672"/>
      <c r="ACV31" s="672"/>
      <c r="ACW31" s="672"/>
      <c r="ACX31" s="672"/>
      <c r="ACY31" s="672"/>
      <c r="ACZ31" s="672"/>
      <c r="ADA31" s="672"/>
      <c r="ADB31" s="672"/>
      <c r="ADC31" s="672"/>
      <c r="ADD31" s="672"/>
      <c r="ADE31" s="672"/>
      <c r="ADF31" s="672"/>
      <c r="ADG31" s="672"/>
      <c r="ADH31" s="672"/>
      <c r="ADI31" s="672"/>
      <c r="ADJ31" s="672"/>
      <c r="ADK31" s="672"/>
      <c r="ADL31" s="672"/>
      <c r="ADM31" s="672"/>
      <c r="ADN31" s="672"/>
      <c r="ADO31" s="672"/>
      <c r="ADP31" s="672"/>
      <c r="ADQ31" s="672"/>
      <c r="ADR31" s="672"/>
      <c r="ADS31" s="672"/>
      <c r="ADT31" s="672"/>
      <c r="ADU31" s="672"/>
      <c r="ADV31" s="672"/>
      <c r="ADW31" s="672"/>
      <c r="ADX31" s="672"/>
      <c r="ADY31" s="672"/>
      <c r="ADZ31" s="672"/>
      <c r="AEA31" s="672"/>
      <c r="AEB31" s="672"/>
      <c r="AEC31" s="672"/>
      <c r="AED31" s="672"/>
      <c r="AEE31" s="672"/>
      <c r="AEF31" s="672"/>
      <c r="AEG31" s="672"/>
      <c r="AEH31" s="672"/>
      <c r="AEI31" s="672"/>
      <c r="AEJ31" s="672"/>
      <c r="AEK31" s="672"/>
      <c r="AEL31" s="672"/>
      <c r="AEM31" s="672"/>
      <c r="AEN31" s="672"/>
      <c r="AEO31" s="672"/>
      <c r="AEP31" s="672"/>
      <c r="AEQ31" s="672"/>
      <c r="AER31" s="672"/>
      <c r="AES31" s="672"/>
      <c r="AET31" s="672"/>
      <c r="AEU31" s="672"/>
      <c r="AEV31" s="672"/>
      <c r="AEW31" s="672"/>
      <c r="AEX31" s="672"/>
      <c r="AEY31" s="672"/>
      <c r="AEZ31" s="672"/>
      <c r="AFA31" s="672"/>
      <c r="AFB31" s="672"/>
      <c r="AFC31" s="672"/>
      <c r="AFD31" s="672"/>
      <c r="AFE31" s="672"/>
      <c r="AFF31" s="672"/>
      <c r="AFG31" s="672"/>
      <c r="AFH31" s="672"/>
      <c r="AFI31" s="672"/>
      <c r="AFJ31" s="672"/>
      <c r="AFK31" s="672"/>
      <c r="AFL31" s="672"/>
      <c r="AFM31" s="672"/>
      <c r="AFN31" s="672"/>
      <c r="AFO31" s="672"/>
      <c r="AFP31" s="672"/>
      <c r="AFQ31" s="672"/>
      <c r="AFR31" s="672"/>
      <c r="AFS31" s="672"/>
      <c r="AFT31" s="672"/>
      <c r="AFU31" s="672"/>
      <c r="AFV31" s="672"/>
      <c r="AFW31" s="672"/>
      <c r="AFX31" s="672"/>
      <c r="AFY31" s="672"/>
      <c r="AFZ31" s="672"/>
      <c r="AGA31" s="672"/>
      <c r="AGB31" s="672"/>
      <c r="AGC31" s="672"/>
      <c r="AGD31" s="672"/>
      <c r="AGE31" s="672"/>
      <c r="AGF31" s="672"/>
      <c r="AGG31" s="672"/>
      <c r="AGH31" s="672"/>
      <c r="AGI31" s="672"/>
      <c r="AGJ31" s="672"/>
      <c r="AGK31" s="672"/>
      <c r="AGL31" s="672"/>
      <c r="AGM31" s="672"/>
      <c r="AGN31" s="672"/>
      <c r="AGO31" s="672"/>
      <c r="AGP31" s="672"/>
      <c r="AGQ31" s="672"/>
      <c r="AGR31" s="672"/>
      <c r="AGS31" s="672"/>
      <c r="AGT31" s="672"/>
      <c r="AGU31" s="672"/>
      <c r="AGV31" s="672"/>
      <c r="AGW31" s="672"/>
      <c r="AGX31" s="672"/>
      <c r="AGY31" s="672"/>
      <c r="AGZ31" s="672"/>
      <c r="AHA31" s="672"/>
      <c r="AHB31" s="672"/>
      <c r="AHC31" s="672"/>
      <c r="AHD31" s="672"/>
      <c r="AHE31" s="672"/>
      <c r="AHF31" s="672"/>
      <c r="AHG31" s="672"/>
      <c r="AHH31" s="672"/>
      <c r="AHI31" s="672"/>
      <c r="AHJ31" s="672"/>
      <c r="AHK31" s="672"/>
      <c r="AHL31" s="672"/>
      <c r="AHM31" s="672"/>
      <c r="AHN31" s="672"/>
      <c r="AHO31" s="672"/>
      <c r="AHP31" s="672"/>
      <c r="AHQ31" s="672"/>
      <c r="AHR31" s="672"/>
      <c r="AHS31" s="672"/>
      <c r="AHT31" s="672"/>
      <c r="AHU31" s="672"/>
      <c r="AHV31" s="672"/>
      <c r="AHW31" s="672"/>
      <c r="AHX31" s="672"/>
      <c r="AHY31" s="672"/>
      <c r="AHZ31" s="672"/>
      <c r="AIA31" s="672"/>
      <c r="AIB31" s="672"/>
      <c r="AIC31" s="672"/>
      <c r="AID31" s="672"/>
      <c r="AIE31" s="672"/>
      <c r="AIF31" s="672"/>
      <c r="AIG31" s="672"/>
      <c r="AIH31" s="672"/>
      <c r="AII31" s="672"/>
      <c r="AIJ31" s="672"/>
      <c r="AIK31" s="672"/>
      <c r="AIL31" s="672"/>
      <c r="AIM31" s="672"/>
      <c r="AIN31" s="672"/>
      <c r="AIO31" s="672"/>
      <c r="AIP31" s="672"/>
      <c r="AIQ31" s="672"/>
      <c r="AIR31" s="672"/>
      <c r="AIS31" s="672"/>
      <c r="AIT31" s="672"/>
      <c r="AIU31" s="672"/>
      <c r="AIV31" s="672"/>
      <c r="AIW31" s="672"/>
      <c r="AIX31" s="672"/>
      <c r="AIY31" s="672"/>
      <c r="AIZ31" s="672"/>
      <c r="AJA31" s="672"/>
      <c r="AJB31" s="672"/>
      <c r="AJC31" s="672"/>
      <c r="AJD31" s="672"/>
      <c r="AJE31" s="672"/>
      <c r="AJF31" s="672"/>
      <c r="AJG31" s="672"/>
      <c r="AJH31" s="672"/>
      <c r="AJI31" s="672"/>
      <c r="AJJ31" s="672"/>
      <c r="AJK31" s="672"/>
      <c r="AJL31" s="672"/>
      <c r="AJM31" s="672"/>
      <c r="AJN31" s="672"/>
      <c r="AJO31" s="672"/>
      <c r="AJP31" s="672"/>
      <c r="AJQ31" s="672"/>
      <c r="AJR31" s="672"/>
      <c r="AJS31" s="672"/>
      <c r="AJT31" s="672"/>
      <c r="AJU31" s="672"/>
      <c r="AJV31" s="672"/>
      <c r="AJW31" s="672"/>
      <c r="AJX31" s="672"/>
      <c r="AJY31" s="672"/>
      <c r="AJZ31" s="672"/>
      <c r="AKA31" s="672"/>
      <c r="AKB31" s="672"/>
      <c r="AKC31" s="672"/>
      <c r="AKD31" s="672"/>
      <c r="AKE31" s="672"/>
      <c r="AKF31" s="672"/>
      <c r="AKG31" s="672"/>
      <c r="AKH31" s="672"/>
      <c r="AKI31" s="672"/>
      <c r="AKJ31" s="672"/>
      <c r="AKK31" s="672"/>
      <c r="AKL31" s="672"/>
      <c r="AKM31" s="672"/>
      <c r="AKN31" s="672"/>
      <c r="AKO31" s="672"/>
      <c r="AKP31" s="672"/>
      <c r="AKQ31" s="672"/>
      <c r="AKR31" s="672"/>
      <c r="AKS31" s="672"/>
      <c r="AKT31" s="672"/>
      <c r="AKU31" s="672"/>
      <c r="AKV31" s="672"/>
      <c r="AKW31" s="672"/>
      <c r="AKX31" s="672"/>
      <c r="AKY31" s="672"/>
      <c r="AKZ31" s="672"/>
      <c r="ALA31" s="672"/>
      <c r="ALB31" s="672"/>
      <c r="ALC31" s="672"/>
      <c r="ALD31" s="672"/>
      <c r="ALE31" s="672"/>
      <c r="ALF31" s="672"/>
      <c r="ALG31" s="672"/>
      <c r="ALH31" s="672"/>
      <c r="ALI31" s="672"/>
      <c r="ALJ31" s="672"/>
      <c r="ALK31" s="672"/>
      <c r="ALL31" s="672"/>
      <c r="ALM31" s="672"/>
      <c r="ALN31" s="672"/>
      <c r="ALO31" s="672"/>
      <c r="ALP31" s="672"/>
      <c r="ALQ31" s="672"/>
      <c r="ALR31" s="672"/>
      <c r="ALS31" s="672"/>
      <c r="ALT31" s="672"/>
      <c r="ALU31" s="672"/>
      <c r="ALV31" s="672"/>
      <c r="ALW31" s="672"/>
      <c r="ALX31" s="672"/>
      <c r="ALY31" s="672"/>
      <c r="ALZ31" s="672"/>
      <c r="AMA31" s="672"/>
      <c r="AMB31" s="672"/>
      <c r="AMC31" s="672"/>
      <c r="AMD31" s="672"/>
      <c r="AME31" s="672"/>
      <c r="AMF31" s="672"/>
      <c r="AMG31" s="672"/>
      <c r="AMH31" s="672"/>
      <c r="AMI31" s="672"/>
      <c r="AMJ31" s="672"/>
      <c r="AMK31" s="672"/>
      <c r="AML31" s="672"/>
      <c r="AMM31" s="672"/>
      <c r="AMN31" s="672"/>
      <c r="AMO31" s="672"/>
      <c r="AMP31" s="672"/>
      <c r="AMQ31" s="672"/>
      <c r="AMR31" s="672"/>
      <c r="AMS31" s="672"/>
      <c r="AMT31" s="672"/>
      <c r="AMU31" s="672"/>
      <c r="AMV31" s="672"/>
      <c r="AMW31" s="672"/>
      <c r="AMX31" s="672"/>
      <c r="AMY31" s="672"/>
      <c r="AMZ31" s="672"/>
      <c r="ANA31" s="672"/>
      <c r="ANB31" s="672"/>
      <c r="ANC31" s="672"/>
      <c r="AND31" s="672"/>
      <c r="ANE31" s="672"/>
      <c r="ANF31" s="672"/>
      <c r="ANG31" s="672"/>
      <c r="ANH31" s="672"/>
      <c r="ANI31" s="672"/>
      <c r="ANJ31" s="672"/>
      <c r="ANK31" s="672"/>
      <c r="ANL31" s="672"/>
      <c r="ANM31" s="672"/>
      <c r="ANN31" s="672"/>
      <c r="ANO31" s="672"/>
      <c r="ANP31" s="672"/>
      <c r="ANQ31" s="672"/>
      <c r="ANR31" s="672"/>
      <c r="ANS31" s="672"/>
      <c r="ANT31" s="672"/>
      <c r="ANU31" s="672"/>
      <c r="ANV31" s="672"/>
      <c r="ANW31" s="672"/>
      <c r="ANX31" s="672"/>
      <c r="ANY31" s="672"/>
      <c r="ANZ31" s="672"/>
      <c r="AOA31" s="672"/>
      <c r="AOB31" s="672"/>
      <c r="AOC31" s="672"/>
      <c r="AOD31" s="672"/>
      <c r="AOE31" s="672"/>
      <c r="AOF31" s="672"/>
      <c r="AOG31" s="672"/>
      <c r="AOH31" s="672"/>
      <c r="AOI31" s="672"/>
      <c r="AOJ31" s="672"/>
      <c r="AOK31" s="672"/>
      <c r="AOL31" s="672"/>
      <c r="AOM31" s="672"/>
      <c r="AON31" s="672"/>
      <c r="AOO31" s="672"/>
      <c r="AOP31" s="672"/>
      <c r="AOQ31" s="672"/>
      <c r="AOR31" s="672"/>
      <c r="AOS31" s="672"/>
      <c r="AOT31" s="672"/>
      <c r="AOU31" s="672"/>
      <c r="AOV31" s="672"/>
      <c r="AOW31" s="672"/>
      <c r="AOX31" s="672"/>
      <c r="AOY31" s="672"/>
      <c r="AOZ31" s="672"/>
      <c r="APA31" s="672"/>
      <c r="APB31" s="672"/>
      <c r="APC31" s="672"/>
      <c r="APD31" s="672"/>
      <c r="APE31" s="672"/>
      <c r="APF31" s="672"/>
      <c r="APG31" s="672"/>
      <c r="APH31" s="672"/>
      <c r="API31" s="672"/>
      <c r="APJ31" s="672"/>
      <c r="APK31" s="672"/>
      <c r="APL31" s="672"/>
      <c r="APM31" s="672"/>
      <c r="APN31" s="672"/>
      <c r="APO31" s="672"/>
      <c r="APP31" s="672"/>
      <c r="APQ31" s="672"/>
      <c r="APR31" s="672"/>
      <c r="APS31" s="672"/>
      <c r="APT31" s="672"/>
      <c r="APU31" s="672"/>
      <c r="APV31" s="672"/>
      <c r="APW31" s="672"/>
      <c r="APX31" s="672"/>
      <c r="APY31" s="672"/>
      <c r="APZ31" s="672"/>
      <c r="AQA31" s="672"/>
      <c r="AQB31" s="672"/>
      <c r="AQC31" s="672"/>
      <c r="AQD31" s="672"/>
      <c r="AQE31" s="672"/>
      <c r="AQF31" s="672"/>
      <c r="AQG31" s="672"/>
      <c r="AQH31" s="672"/>
      <c r="AQI31" s="672"/>
      <c r="AQJ31" s="672"/>
      <c r="AQK31" s="672"/>
      <c r="AQL31" s="672"/>
      <c r="AQM31" s="672"/>
      <c r="AQN31" s="672"/>
      <c r="AQO31" s="672"/>
      <c r="AQP31" s="672"/>
      <c r="AQQ31" s="672"/>
      <c r="AQR31" s="672"/>
      <c r="AQS31" s="672"/>
      <c r="AQT31" s="672"/>
      <c r="AQU31" s="672"/>
      <c r="AQV31" s="672"/>
      <c r="AQW31" s="672"/>
      <c r="AQX31" s="672"/>
      <c r="AQY31" s="672"/>
      <c r="AQZ31" s="672"/>
      <c r="ARA31" s="672"/>
      <c r="ARB31" s="672"/>
      <c r="ARC31" s="672"/>
      <c r="ARD31" s="672"/>
      <c r="ARE31" s="672"/>
      <c r="ARF31" s="672"/>
      <c r="ARG31" s="672"/>
      <c r="ARH31" s="672"/>
      <c r="ARI31" s="672"/>
      <c r="ARJ31" s="672"/>
      <c r="ARK31" s="672"/>
      <c r="ARL31" s="672"/>
      <c r="ARM31" s="672"/>
      <c r="ARN31" s="672"/>
      <c r="ARO31" s="672"/>
      <c r="ARP31" s="672"/>
      <c r="ARQ31" s="672"/>
      <c r="ARR31" s="672"/>
      <c r="ARS31" s="672"/>
      <c r="ART31" s="672"/>
      <c r="ARU31" s="672"/>
      <c r="ARV31" s="672"/>
      <c r="ARW31" s="672"/>
      <c r="ARX31" s="672"/>
      <c r="ARY31" s="672"/>
      <c r="ARZ31" s="672"/>
      <c r="ASA31" s="672"/>
      <c r="ASB31" s="672"/>
      <c r="ASC31" s="672"/>
      <c r="ASD31" s="672"/>
      <c r="ASE31" s="672"/>
      <c r="ASF31" s="672"/>
      <c r="ASG31" s="672"/>
      <c r="ASH31" s="672"/>
      <c r="ASI31" s="672"/>
      <c r="ASJ31" s="672"/>
      <c r="ASK31" s="672"/>
      <c r="ASL31" s="672"/>
      <c r="ASM31" s="672"/>
      <c r="ASN31" s="672"/>
      <c r="ASO31" s="672"/>
      <c r="ASP31" s="672"/>
      <c r="ASQ31" s="672"/>
      <c r="ASR31" s="672"/>
      <c r="ASS31" s="672"/>
      <c r="AST31" s="672"/>
      <c r="ASU31" s="672"/>
      <c r="ASV31" s="672"/>
      <c r="ASW31" s="672"/>
      <c r="ASX31" s="672"/>
      <c r="ASY31" s="672"/>
      <c r="ASZ31" s="672"/>
      <c r="ATA31" s="672"/>
      <c r="ATB31" s="672"/>
      <c r="ATC31" s="672"/>
      <c r="ATD31" s="672"/>
      <c r="ATE31" s="672"/>
      <c r="ATF31" s="672"/>
      <c r="ATG31" s="672"/>
      <c r="ATH31" s="672"/>
      <c r="ATI31" s="672"/>
      <c r="ATJ31" s="672"/>
      <c r="ATK31" s="672"/>
      <c r="ATL31" s="672"/>
      <c r="ATM31" s="672"/>
      <c r="ATN31" s="672"/>
      <c r="ATO31" s="672"/>
      <c r="ATP31" s="672"/>
      <c r="ATQ31" s="672"/>
      <c r="ATR31" s="672"/>
      <c r="ATS31" s="672"/>
      <c r="ATT31" s="672"/>
      <c r="ATU31" s="672"/>
      <c r="ATV31" s="672"/>
      <c r="ATW31" s="672"/>
      <c r="ATX31" s="672"/>
      <c r="ATY31" s="672"/>
      <c r="ATZ31" s="672"/>
      <c r="AUA31" s="672"/>
      <c r="AUB31" s="672"/>
      <c r="AUC31" s="672"/>
      <c r="AUD31" s="672"/>
      <c r="AUE31" s="672"/>
      <c r="AUF31" s="672"/>
      <c r="AUG31" s="672"/>
      <c r="AUH31" s="672"/>
      <c r="AUI31" s="672"/>
      <c r="AUJ31" s="672"/>
      <c r="AUK31" s="672"/>
      <c r="AUL31" s="672"/>
      <c r="AUM31" s="672"/>
      <c r="AUN31" s="672"/>
      <c r="AUO31" s="672"/>
      <c r="AUP31" s="672"/>
      <c r="AUQ31" s="672"/>
      <c r="AUR31" s="672"/>
      <c r="AUS31" s="672"/>
      <c r="AUT31" s="672"/>
      <c r="AUU31" s="672"/>
      <c r="AUV31" s="672"/>
      <c r="AUW31" s="672"/>
      <c r="AUX31" s="672"/>
      <c r="AUY31" s="672"/>
      <c r="AUZ31" s="672"/>
      <c r="AVA31" s="672"/>
      <c r="AVB31" s="672"/>
      <c r="AVC31" s="672"/>
      <c r="AVD31" s="672"/>
      <c r="AVE31" s="672"/>
      <c r="AVF31" s="672"/>
      <c r="AVG31" s="672"/>
      <c r="AVH31" s="672"/>
      <c r="AVI31" s="672"/>
      <c r="AVJ31" s="672"/>
      <c r="AVK31" s="672"/>
      <c r="AVL31" s="672"/>
      <c r="AVM31" s="672"/>
      <c r="AVN31" s="672"/>
      <c r="AVO31" s="672"/>
      <c r="AVP31" s="672"/>
      <c r="AVQ31" s="672"/>
      <c r="AVR31" s="672"/>
      <c r="AVS31" s="672"/>
      <c r="AVT31" s="672"/>
      <c r="AVU31" s="672"/>
      <c r="AVV31" s="672"/>
      <c r="AVW31" s="672"/>
      <c r="AVX31" s="672"/>
      <c r="AVY31" s="672"/>
      <c r="AVZ31" s="672"/>
      <c r="AWA31" s="672"/>
      <c r="AWB31" s="672"/>
      <c r="AWC31" s="672"/>
      <c r="AWD31" s="672"/>
      <c r="AWE31" s="672"/>
      <c r="AWF31" s="672"/>
      <c r="AWG31" s="672"/>
      <c r="AWH31" s="672"/>
      <c r="AWI31" s="672"/>
      <c r="AWJ31" s="672"/>
      <c r="AWK31" s="672"/>
      <c r="AWL31" s="672"/>
      <c r="AWM31" s="672"/>
      <c r="AWN31" s="672"/>
      <c r="AWO31" s="672"/>
      <c r="AWP31" s="672"/>
      <c r="AWQ31" s="672"/>
      <c r="AWR31" s="672"/>
      <c r="AWS31" s="672"/>
      <c r="AWT31" s="672"/>
      <c r="AWU31" s="672"/>
      <c r="AWV31" s="672"/>
      <c r="AWW31" s="672"/>
      <c r="AWX31" s="672"/>
      <c r="AWY31" s="672"/>
      <c r="AWZ31" s="672"/>
      <c r="AXA31" s="672"/>
      <c r="AXB31" s="672"/>
      <c r="AXC31" s="672"/>
      <c r="AXD31" s="672"/>
      <c r="AXE31" s="672"/>
      <c r="AXF31" s="672"/>
      <c r="AXG31" s="672"/>
      <c r="AXH31" s="672"/>
      <c r="AXI31" s="672"/>
      <c r="AXJ31" s="672"/>
      <c r="AXK31" s="672"/>
      <c r="AXL31" s="672"/>
      <c r="AXM31" s="672"/>
      <c r="AXN31" s="672"/>
      <c r="AXO31" s="672"/>
      <c r="AXP31" s="672"/>
      <c r="AXQ31" s="672"/>
      <c r="AXR31" s="672"/>
      <c r="AXS31" s="672"/>
      <c r="AXT31" s="672"/>
      <c r="AXU31" s="672"/>
      <c r="AXV31" s="672"/>
      <c r="AXW31" s="672"/>
      <c r="AXX31" s="672"/>
      <c r="AXY31" s="672"/>
      <c r="AXZ31" s="672"/>
      <c r="AYA31" s="672"/>
      <c r="AYB31" s="672"/>
      <c r="AYC31" s="672"/>
      <c r="AYD31" s="672"/>
      <c r="AYE31" s="672"/>
      <c r="AYF31" s="672"/>
      <c r="AYG31" s="672"/>
      <c r="AYH31" s="672"/>
      <c r="AYI31" s="672"/>
      <c r="AYJ31" s="672"/>
      <c r="AYK31" s="672"/>
      <c r="AYL31" s="672"/>
      <c r="AYM31" s="672"/>
      <c r="AYN31" s="672"/>
      <c r="AYO31" s="672"/>
      <c r="AYP31" s="672"/>
      <c r="AYQ31" s="672"/>
      <c r="AYR31" s="672"/>
      <c r="AYS31" s="672"/>
      <c r="AYT31" s="672"/>
      <c r="AYU31" s="672"/>
      <c r="AYV31" s="672"/>
      <c r="AYW31" s="672"/>
      <c r="AYX31" s="672"/>
      <c r="AYY31" s="672"/>
      <c r="AYZ31" s="672"/>
      <c r="AZA31" s="672"/>
      <c r="AZB31" s="672"/>
      <c r="AZC31" s="672"/>
      <c r="AZD31" s="672"/>
      <c r="AZE31" s="672"/>
      <c r="AZF31" s="672"/>
      <c r="AZG31" s="672"/>
      <c r="AZH31" s="672"/>
      <c r="AZI31" s="672"/>
      <c r="AZJ31" s="672"/>
      <c r="AZK31" s="672"/>
      <c r="AZL31" s="672"/>
      <c r="AZM31" s="672"/>
      <c r="AZN31" s="672"/>
      <c r="AZO31" s="672"/>
      <c r="AZP31" s="672"/>
      <c r="AZQ31" s="672"/>
      <c r="AZR31" s="672"/>
      <c r="AZS31" s="672"/>
      <c r="AZT31" s="672"/>
      <c r="AZU31" s="672"/>
      <c r="AZV31" s="672"/>
      <c r="AZW31" s="672"/>
      <c r="AZX31" s="672"/>
      <c r="AZY31" s="672"/>
      <c r="AZZ31" s="672"/>
      <c r="BAA31" s="672"/>
      <c r="BAB31" s="672"/>
      <c r="BAC31" s="672"/>
      <c r="BAD31" s="672"/>
      <c r="BAE31" s="672"/>
      <c r="BAF31" s="672"/>
      <c r="BAG31" s="672"/>
      <c r="BAH31" s="672"/>
      <c r="BAI31" s="672"/>
      <c r="BAJ31" s="672"/>
      <c r="BAK31" s="672"/>
      <c r="BAL31" s="672"/>
      <c r="BAM31" s="672"/>
      <c r="BAN31" s="672"/>
      <c r="BAO31" s="672"/>
      <c r="BAP31" s="672"/>
      <c r="BAQ31" s="672"/>
      <c r="BAR31" s="672"/>
      <c r="BAS31" s="672"/>
      <c r="BAT31" s="672"/>
      <c r="BAU31" s="672"/>
      <c r="BAV31" s="672"/>
      <c r="BAW31" s="672"/>
      <c r="BAX31" s="672"/>
      <c r="BAY31" s="672"/>
      <c r="BAZ31" s="672"/>
      <c r="BBA31" s="672"/>
      <c r="BBB31" s="672"/>
      <c r="BBC31" s="672"/>
      <c r="BBD31" s="672"/>
      <c r="BBE31" s="672"/>
      <c r="BBF31" s="672"/>
      <c r="BBG31" s="672"/>
      <c r="BBH31" s="672"/>
      <c r="BBI31" s="672"/>
      <c r="BBJ31" s="672"/>
      <c r="BBK31" s="672"/>
      <c r="BBL31" s="672"/>
      <c r="BBM31" s="672"/>
      <c r="BBN31" s="672"/>
      <c r="BBO31" s="672"/>
      <c r="BBP31" s="672"/>
      <c r="BBQ31" s="672"/>
      <c r="BBR31" s="672"/>
      <c r="BBS31" s="672"/>
      <c r="BBT31" s="672"/>
      <c r="BBU31" s="672"/>
      <c r="BBV31" s="672"/>
      <c r="BBW31" s="672"/>
      <c r="BBX31" s="672"/>
      <c r="BBY31" s="672"/>
      <c r="BBZ31" s="672"/>
      <c r="BCA31" s="672"/>
      <c r="BCB31" s="672"/>
      <c r="BCC31" s="672"/>
      <c r="BCD31" s="672"/>
      <c r="BCE31" s="672"/>
      <c r="BCF31" s="672"/>
      <c r="BCG31" s="672"/>
      <c r="BCH31" s="672"/>
      <c r="BCI31" s="672"/>
      <c r="BCJ31" s="672"/>
      <c r="BCK31" s="672"/>
      <c r="BCL31" s="672"/>
      <c r="BCM31" s="672"/>
      <c r="BCN31" s="672"/>
      <c r="BCO31" s="672"/>
      <c r="BCP31" s="672"/>
      <c r="BCQ31" s="672"/>
      <c r="BCR31" s="672"/>
      <c r="BCS31" s="672"/>
      <c r="BCT31" s="672"/>
      <c r="BCU31" s="672"/>
      <c r="BCV31" s="672"/>
      <c r="BCW31" s="672"/>
      <c r="BCX31" s="672"/>
      <c r="BCY31" s="672"/>
      <c r="BCZ31" s="672"/>
      <c r="BDA31" s="672"/>
      <c r="BDB31" s="672"/>
      <c r="BDC31" s="672"/>
      <c r="BDD31" s="672"/>
      <c r="BDE31" s="672"/>
      <c r="BDF31" s="672"/>
      <c r="BDG31" s="672"/>
      <c r="BDH31" s="672"/>
      <c r="BDI31" s="672"/>
      <c r="BDJ31" s="672"/>
      <c r="BDK31" s="672"/>
      <c r="BDL31" s="672"/>
      <c r="BDM31" s="672"/>
      <c r="BDN31" s="672"/>
      <c r="BDO31" s="672"/>
      <c r="BDP31" s="672"/>
      <c r="BDQ31" s="672"/>
      <c r="BDR31" s="672"/>
      <c r="BDS31" s="672"/>
      <c r="BDT31" s="672"/>
      <c r="BDU31" s="672"/>
      <c r="BDV31" s="672"/>
      <c r="BDW31" s="672"/>
      <c r="BDX31" s="672"/>
      <c r="BDY31" s="672"/>
      <c r="BDZ31" s="672"/>
      <c r="BEA31" s="672"/>
      <c r="BEB31" s="672"/>
      <c r="BEC31" s="672"/>
      <c r="BED31" s="672"/>
      <c r="BEE31" s="672"/>
      <c r="BEF31" s="672"/>
      <c r="BEG31" s="672"/>
      <c r="BEH31" s="672"/>
      <c r="BEI31" s="672"/>
      <c r="BEJ31" s="672"/>
      <c r="BEK31" s="672"/>
      <c r="BEL31" s="672"/>
      <c r="BEM31" s="672"/>
      <c r="BEN31" s="672"/>
      <c r="BEO31" s="672"/>
      <c r="BEP31" s="672"/>
      <c r="BEQ31" s="672"/>
      <c r="BER31" s="672"/>
      <c r="BES31" s="672"/>
      <c r="BET31" s="672"/>
      <c r="BEU31" s="672"/>
      <c r="BEV31" s="672"/>
      <c r="BEW31" s="672"/>
      <c r="BEX31" s="672"/>
      <c r="BEY31" s="672"/>
      <c r="BEZ31" s="672"/>
      <c r="BFA31" s="672"/>
      <c r="BFB31" s="672"/>
      <c r="BFC31" s="672"/>
      <c r="BFD31" s="672"/>
      <c r="BFE31" s="672"/>
      <c r="BFF31" s="672"/>
      <c r="BFG31" s="672"/>
      <c r="BFH31" s="672"/>
      <c r="BFI31" s="672"/>
      <c r="BFJ31" s="672"/>
      <c r="BFK31" s="672"/>
      <c r="BFL31" s="672"/>
      <c r="BFM31" s="672"/>
      <c r="BFN31" s="672"/>
      <c r="BFO31" s="672"/>
      <c r="BFP31" s="672"/>
      <c r="BFQ31" s="672"/>
      <c r="BFR31" s="672"/>
      <c r="BFS31" s="672"/>
      <c r="BFT31" s="672"/>
      <c r="BFU31" s="672"/>
      <c r="BFV31" s="672"/>
      <c r="BFW31" s="672"/>
      <c r="BFX31" s="672"/>
      <c r="BFY31" s="672"/>
      <c r="BFZ31" s="672"/>
      <c r="BGA31" s="672"/>
      <c r="BGB31" s="672"/>
      <c r="BGC31" s="672"/>
      <c r="BGD31" s="672"/>
      <c r="BGE31" s="672"/>
      <c r="BGF31" s="672"/>
      <c r="BGG31" s="672"/>
      <c r="BGH31" s="672"/>
      <c r="BGI31" s="672"/>
      <c r="BGJ31" s="672"/>
      <c r="BGK31" s="672"/>
      <c r="BGL31" s="672"/>
      <c r="BGM31" s="672"/>
      <c r="BGN31" s="672"/>
      <c r="BGO31" s="672"/>
      <c r="BGP31" s="672"/>
      <c r="BGQ31" s="672"/>
      <c r="BGR31" s="672"/>
      <c r="BGS31" s="672"/>
      <c r="BGT31" s="672"/>
      <c r="BGU31" s="672"/>
      <c r="BGV31" s="672"/>
      <c r="BGW31" s="672"/>
      <c r="BGX31" s="672"/>
      <c r="BGY31" s="672"/>
      <c r="BGZ31" s="672"/>
      <c r="BHA31" s="672"/>
      <c r="BHB31" s="672"/>
      <c r="BHC31" s="672"/>
      <c r="BHD31" s="672"/>
      <c r="BHE31" s="672"/>
      <c r="BHF31" s="672"/>
      <c r="BHG31" s="672"/>
      <c r="BHH31" s="672"/>
      <c r="BHI31" s="672"/>
      <c r="BHJ31" s="672"/>
      <c r="BHK31" s="672"/>
      <c r="BHL31" s="672"/>
      <c r="BHM31" s="672"/>
      <c r="BHN31" s="672"/>
      <c r="BHO31" s="672"/>
      <c r="BHP31" s="672"/>
      <c r="BHQ31" s="672"/>
      <c r="BHR31" s="672"/>
      <c r="BHS31" s="672"/>
      <c r="BHT31" s="672"/>
      <c r="BHU31" s="672"/>
      <c r="BHV31" s="672"/>
      <c r="BHW31" s="672"/>
      <c r="BHX31" s="672"/>
      <c r="BHY31" s="672"/>
      <c r="BHZ31" s="672"/>
      <c r="BIA31" s="672"/>
      <c r="BIB31" s="672"/>
      <c r="BIC31" s="672"/>
      <c r="BID31" s="672"/>
      <c r="BIE31" s="672"/>
      <c r="BIF31" s="672"/>
      <c r="BIG31" s="672"/>
      <c r="BIH31" s="672"/>
      <c r="BII31" s="672"/>
      <c r="BIJ31" s="672"/>
      <c r="BIK31" s="672"/>
      <c r="BIL31" s="672"/>
      <c r="BIM31" s="672"/>
      <c r="BIN31" s="672"/>
      <c r="BIO31" s="672"/>
      <c r="BIP31" s="672"/>
      <c r="BIQ31" s="672"/>
      <c r="BIR31" s="672"/>
      <c r="BIS31" s="672"/>
      <c r="BIT31" s="672"/>
      <c r="BIU31" s="672"/>
      <c r="BIV31" s="672"/>
      <c r="BIW31" s="672"/>
      <c r="BIX31" s="672"/>
      <c r="BIY31" s="672"/>
      <c r="BIZ31" s="672"/>
      <c r="BJA31" s="672"/>
      <c r="BJB31" s="672"/>
      <c r="BJC31" s="672"/>
      <c r="BJD31" s="672"/>
      <c r="BJE31" s="672"/>
      <c r="BJF31" s="672"/>
      <c r="BJG31" s="672"/>
      <c r="BJH31" s="672"/>
      <c r="BJI31" s="672"/>
      <c r="BJJ31" s="672"/>
      <c r="BJK31" s="672"/>
      <c r="BJL31" s="672"/>
      <c r="BJM31" s="672"/>
      <c r="BJN31" s="672"/>
      <c r="BJO31" s="672"/>
      <c r="BJP31" s="672"/>
      <c r="BJQ31" s="672"/>
      <c r="BJR31" s="672"/>
      <c r="BJS31" s="672"/>
      <c r="BJT31" s="672"/>
      <c r="BJU31" s="672"/>
      <c r="BJV31" s="672"/>
      <c r="BJW31" s="672"/>
      <c r="BJX31" s="672"/>
      <c r="BJY31" s="672"/>
      <c r="BJZ31" s="672"/>
      <c r="BKA31" s="672"/>
      <c r="BKB31" s="672"/>
      <c r="BKC31" s="672"/>
      <c r="BKD31" s="672"/>
      <c r="BKE31" s="672"/>
      <c r="BKF31" s="672"/>
      <c r="BKG31" s="672"/>
      <c r="BKH31" s="672"/>
      <c r="BKI31" s="672"/>
      <c r="BKJ31" s="672"/>
      <c r="BKK31" s="672"/>
      <c r="BKL31" s="672"/>
      <c r="BKM31" s="672"/>
      <c r="BKN31" s="672"/>
      <c r="BKO31" s="672"/>
      <c r="BKP31" s="672"/>
      <c r="BKQ31" s="672"/>
      <c r="BKR31" s="672"/>
      <c r="BKS31" s="672"/>
      <c r="BKT31" s="672"/>
      <c r="BKU31" s="672"/>
      <c r="BKV31" s="672"/>
      <c r="BKW31" s="672"/>
      <c r="BKX31" s="672"/>
      <c r="BKY31" s="672"/>
      <c r="BKZ31" s="672"/>
      <c r="BLA31" s="672"/>
      <c r="BLB31" s="672"/>
      <c r="BLC31" s="672"/>
      <c r="BLD31" s="672"/>
      <c r="BLE31" s="672"/>
      <c r="BLF31" s="672"/>
      <c r="BLG31" s="672"/>
      <c r="BLH31" s="672"/>
      <c r="BLI31" s="672"/>
      <c r="BLJ31" s="672"/>
      <c r="BLK31" s="672"/>
      <c r="BLL31" s="672"/>
      <c r="BLM31" s="672"/>
      <c r="BLN31" s="672"/>
      <c r="BLO31" s="672"/>
      <c r="BLP31" s="672"/>
      <c r="BLQ31" s="672"/>
      <c r="BLR31" s="672"/>
      <c r="BLS31" s="672"/>
      <c r="BLT31" s="672"/>
      <c r="BLU31" s="672"/>
      <c r="BLV31" s="672"/>
      <c r="BLW31" s="672"/>
      <c r="BLX31" s="672"/>
      <c r="BLY31" s="672"/>
      <c r="BLZ31" s="672"/>
      <c r="BMA31" s="672"/>
      <c r="BMB31" s="672"/>
      <c r="BMC31" s="672"/>
      <c r="BMD31" s="672"/>
      <c r="BME31" s="672"/>
      <c r="BMF31" s="672"/>
      <c r="BMG31" s="672"/>
      <c r="BMH31" s="672"/>
      <c r="BMI31" s="672"/>
      <c r="BMJ31" s="672"/>
      <c r="BMK31" s="672"/>
      <c r="BML31" s="672"/>
      <c r="BMM31" s="672"/>
      <c r="BMN31" s="672"/>
      <c r="BMO31" s="672"/>
      <c r="BMP31" s="672"/>
      <c r="BMQ31" s="672"/>
      <c r="BMR31" s="672"/>
      <c r="BMS31" s="672"/>
      <c r="BMT31" s="672"/>
      <c r="BMU31" s="672"/>
      <c r="BMV31" s="672"/>
      <c r="BMW31" s="672"/>
      <c r="BMX31" s="672"/>
      <c r="BMY31" s="672"/>
      <c r="BMZ31" s="672"/>
      <c r="BNA31" s="672"/>
      <c r="BNB31" s="672"/>
      <c r="BNC31" s="672"/>
      <c r="BND31" s="672"/>
      <c r="BNE31" s="672"/>
      <c r="BNF31" s="672"/>
      <c r="BNG31" s="672"/>
      <c r="BNH31" s="672"/>
      <c r="BNI31" s="672"/>
      <c r="BNJ31" s="672"/>
      <c r="BNK31" s="672"/>
      <c r="BNL31" s="672"/>
      <c r="BNM31" s="672"/>
      <c r="BNN31" s="672"/>
      <c r="BNO31" s="672"/>
      <c r="BNP31" s="672"/>
      <c r="BNQ31" s="672"/>
      <c r="BNR31" s="672"/>
      <c r="BNS31" s="672"/>
      <c r="BNT31" s="672"/>
      <c r="BNU31" s="672"/>
      <c r="BNV31" s="672"/>
      <c r="BNW31" s="672"/>
      <c r="BNX31" s="672"/>
      <c r="BNY31" s="672"/>
      <c r="BNZ31" s="672"/>
      <c r="BOA31" s="672"/>
      <c r="BOB31" s="672"/>
      <c r="BOC31" s="672"/>
      <c r="BOD31" s="672"/>
      <c r="BOE31" s="672"/>
      <c r="BOF31" s="672"/>
      <c r="BOG31" s="672"/>
      <c r="BOH31" s="672"/>
      <c r="BOI31" s="672"/>
      <c r="BOJ31" s="672"/>
      <c r="BOK31" s="672"/>
      <c r="BOL31" s="672"/>
      <c r="BOM31" s="672"/>
      <c r="BON31" s="672"/>
      <c r="BOO31" s="672"/>
      <c r="BOP31" s="672"/>
      <c r="BOQ31" s="672"/>
      <c r="BOR31" s="672"/>
      <c r="BOS31" s="672"/>
      <c r="BOT31" s="672"/>
      <c r="BOU31" s="672"/>
      <c r="BOV31" s="672"/>
      <c r="BOW31" s="672"/>
      <c r="BOX31" s="672"/>
      <c r="BOY31" s="672"/>
      <c r="BOZ31" s="672"/>
      <c r="BPA31" s="672"/>
      <c r="BPB31" s="672"/>
      <c r="BPC31" s="672"/>
      <c r="BPD31" s="672"/>
      <c r="BPE31" s="672"/>
      <c r="BPF31" s="672"/>
      <c r="BPG31" s="672"/>
      <c r="BPH31" s="672"/>
      <c r="BPI31" s="672"/>
      <c r="BPJ31" s="672"/>
      <c r="BPK31" s="672"/>
      <c r="BPL31" s="672"/>
      <c r="BPM31" s="672"/>
      <c r="BPN31" s="672"/>
      <c r="BPO31" s="672"/>
      <c r="BPP31" s="672"/>
      <c r="BPQ31" s="672"/>
      <c r="BPR31" s="672"/>
      <c r="BPS31" s="672"/>
      <c r="BPT31" s="672"/>
      <c r="BPU31" s="672"/>
      <c r="BPV31" s="672"/>
      <c r="BPW31" s="672"/>
      <c r="BPX31" s="672"/>
      <c r="BPY31" s="672"/>
      <c r="BPZ31" s="672"/>
      <c r="BQA31" s="672"/>
      <c r="BQB31" s="672"/>
      <c r="BQC31" s="672"/>
      <c r="BQD31" s="672"/>
      <c r="BQE31" s="672"/>
      <c r="BQF31" s="672"/>
      <c r="BQG31" s="672"/>
      <c r="BQH31" s="672"/>
      <c r="BQI31" s="672"/>
      <c r="BQJ31" s="672"/>
      <c r="BQK31" s="672"/>
      <c r="BQL31" s="672"/>
      <c r="BQM31" s="672"/>
      <c r="BQN31" s="672"/>
      <c r="BQO31" s="672"/>
      <c r="BQP31" s="672"/>
      <c r="BQQ31" s="672"/>
      <c r="BQR31" s="672"/>
      <c r="BQS31" s="672"/>
      <c r="BQT31" s="672"/>
      <c r="BQU31" s="672"/>
      <c r="BQV31" s="672"/>
      <c r="BQW31" s="672"/>
      <c r="BQX31" s="672"/>
      <c r="BQY31" s="672"/>
      <c r="BQZ31" s="672"/>
      <c r="BRA31" s="672"/>
      <c r="BRB31" s="672"/>
      <c r="BRC31" s="672"/>
      <c r="BRD31" s="672"/>
      <c r="BRE31" s="672"/>
      <c r="BRF31" s="672"/>
      <c r="BRG31" s="672"/>
      <c r="BRH31" s="672"/>
      <c r="BRI31" s="672"/>
      <c r="BRJ31" s="672"/>
      <c r="BRK31" s="672"/>
      <c r="BRL31" s="672"/>
      <c r="BRM31" s="672"/>
      <c r="BRN31" s="672"/>
      <c r="BRO31" s="672"/>
      <c r="BRP31" s="672"/>
      <c r="BRQ31" s="672"/>
      <c r="BRR31" s="672"/>
      <c r="BRS31" s="672"/>
      <c r="BRT31" s="672"/>
      <c r="BRU31" s="672"/>
      <c r="BRV31" s="672"/>
      <c r="BRW31" s="672"/>
      <c r="BRX31" s="672"/>
      <c r="BRY31" s="672"/>
      <c r="BRZ31" s="672"/>
      <c r="BSA31" s="672"/>
      <c r="BSB31" s="672"/>
      <c r="BSC31" s="672"/>
      <c r="BSD31" s="672"/>
      <c r="BSE31" s="672"/>
      <c r="BSF31" s="672"/>
      <c r="BSG31" s="672"/>
      <c r="BSH31" s="672"/>
      <c r="BSI31" s="672"/>
      <c r="BSJ31" s="672"/>
      <c r="BSK31" s="672"/>
      <c r="BSL31" s="672"/>
      <c r="BSM31" s="672"/>
      <c r="BSN31" s="672"/>
      <c r="BSO31" s="672"/>
      <c r="BSP31" s="672"/>
      <c r="BSQ31" s="672"/>
      <c r="BSR31" s="672"/>
      <c r="BSS31" s="672"/>
      <c r="BST31" s="672"/>
      <c r="BSU31" s="672"/>
      <c r="BSV31" s="672"/>
      <c r="BSW31" s="672"/>
      <c r="BSX31" s="672"/>
      <c r="BSY31" s="672"/>
      <c r="BSZ31" s="672"/>
      <c r="BTA31" s="672"/>
      <c r="BTB31" s="672"/>
      <c r="BTC31" s="672"/>
      <c r="BTD31" s="672"/>
      <c r="BTE31" s="672"/>
      <c r="BTF31" s="672"/>
      <c r="BTG31" s="672"/>
      <c r="BTH31" s="672"/>
      <c r="BTI31" s="672"/>
      <c r="BTJ31" s="672"/>
      <c r="BTK31" s="672"/>
      <c r="BTL31" s="672"/>
      <c r="BTM31" s="672"/>
      <c r="BTN31" s="672"/>
      <c r="BTO31" s="672"/>
      <c r="BTP31" s="672"/>
      <c r="BTQ31" s="672"/>
      <c r="BTR31" s="672"/>
      <c r="BTS31" s="672"/>
      <c r="BTT31" s="672"/>
      <c r="BTU31" s="672"/>
      <c r="BTV31" s="672"/>
      <c r="BTW31" s="672"/>
      <c r="BTX31" s="672"/>
      <c r="BTY31" s="672"/>
      <c r="BTZ31" s="672"/>
      <c r="BUA31" s="672"/>
      <c r="BUB31" s="672"/>
      <c r="BUC31" s="672"/>
      <c r="BUD31" s="672"/>
      <c r="BUE31" s="672"/>
      <c r="BUF31" s="672"/>
      <c r="BUG31" s="672"/>
      <c r="BUH31" s="672"/>
      <c r="BUI31" s="672"/>
      <c r="BUJ31" s="672"/>
      <c r="BUK31" s="672"/>
      <c r="BUL31" s="672"/>
      <c r="BUM31" s="672"/>
      <c r="BUN31" s="672"/>
      <c r="BUO31" s="672"/>
      <c r="BUP31" s="672"/>
      <c r="BUQ31" s="672"/>
      <c r="BUR31" s="672"/>
      <c r="BUS31" s="672"/>
      <c r="BUT31" s="672"/>
      <c r="BUU31" s="672"/>
      <c r="BUV31" s="672"/>
      <c r="BUW31" s="672"/>
      <c r="BUX31" s="672"/>
      <c r="BUY31" s="672"/>
      <c r="BUZ31" s="672"/>
      <c r="BVA31" s="672"/>
      <c r="BVB31" s="672"/>
      <c r="BVC31" s="672"/>
      <c r="BVD31" s="672"/>
      <c r="BVE31" s="672"/>
      <c r="BVF31" s="672"/>
      <c r="BVG31" s="672"/>
      <c r="BVH31" s="672"/>
      <c r="BVI31" s="672"/>
      <c r="BVJ31" s="672"/>
      <c r="BVK31" s="672"/>
      <c r="BVL31" s="672"/>
      <c r="BVM31" s="672"/>
      <c r="BVN31" s="672"/>
      <c r="BVO31" s="672"/>
      <c r="BVP31" s="672"/>
      <c r="BVQ31" s="672"/>
      <c r="BVR31" s="672"/>
      <c r="BVS31" s="672"/>
      <c r="BVT31" s="672"/>
      <c r="BVU31" s="672"/>
      <c r="BVV31" s="672"/>
      <c r="BVW31" s="672"/>
      <c r="BVX31" s="672"/>
      <c r="BVY31" s="672"/>
      <c r="BVZ31" s="672"/>
      <c r="BWA31" s="672"/>
      <c r="BWB31" s="672"/>
      <c r="BWC31" s="672"/>
      <c r="BWD31" s="672"/>
      <c r="BWE31" s="672"/>
      <c r="BWF31" s="672"/>
      <c r="BWG31" s="672"/>
      <c r="BWH31" s="672"/>
      <c r="BWI31" s="672"/>
      <c r="BWJ31" s="672"/>
      <c r="BWK31" s="672"/>
      <c r="BWL31" s="672"/>
      <c r="BWM31" s="672"/>
      <c r="BWN31" s="672"/>
      <c r="BWO31" s="672"/>
      <c r="BWP31" s="672"/>
      <c r="BWQ31" s="672"/>
      <c r="BWR31" s="672"/>
      <c r="BWS31" s="672"/>
      <c r="BWT31" s="672"/>
      <c r="BWU31" s="672"/>
      <c r="BWV31" s="672"/>
      <c r="BWW31" s="672"/>
      <c r="BWX31" s="672"/>
      <c r="BWY31" s="672"/>
      <c r="BWZ31" s="672"/>
      <c r="BXA31" s="672"/>
      <c r="BXB31" s="672"/>
      <c r="BXC31" s="672"/>
      <c r="BXD31" s="672"/>
      <c r="BXE31" s="672"/>
      <c r="BXF31" s="672"/>
      <c r="BXG31" s="672"/>
      <c r="BXH31" s="672"/>
      <c r="BXI31" s="672"/>
      <c r="BXJ31" s="672"/>
      <c r="BXK31" s="672"/>
      <c r="BXL31" s="672"/>
      <c r="BXM31" s="672"/>
      <c r="BXN31" s="672"/>
      <c r="BXO31" s="672"/>
      <c r="BXP31" s="672"/>
      <c r="BXQ31" s="672"/>
      <c r="BXR31" s="672"/>
      <c r="BXS31" s="672"/>
      <c r="BXT31" s="672"/>
      <c r="BXU31" s="672"/>
      <c r="BXV31" s="672"/>
      <c r="BXW31" s="672"/>
      <c r="BXX31" s="672"/>
      <c r="BXY31" s="672"/>
      <c r="BXZ31" s="672"/>
      <c r="BYA31" s="672"/>
      <c r="BYB31" s="672"/>
      <c r="BYC31" s="672"/>
      <c r="BYD31" s="672"/>
      <c r="BYE31" s="672"/>
      <c r="BYF31" s="672"/>
      <c r="BYG31" s="672"/>
      <c r="BYH31" s="672"/>
      <c r="BYI31" s="672"/>
      <c r="BYJ31" s="672"/>
      <c r="BYK31" s="672"/>
      <c r="BYL31" s="672"/>
      <c r="BYM31" s="672"/>
      <c r="BYN31" s="672"/>
      <c r="BYO31" s="672"/>
      <c r="BYP31" s="672"/>
      <c r="BYQ31" s="672"/>
      <c r="BYR31" s="672"/>
      <c r="BYS31" s="672"/>
      <c r="BYT31" s="672"/>
      <c r="BYU31" s="672"/>
      <c r="BYV31" s="672"/>
      <c r="BYW31" s="672"/>
      <c r="BYX31" s="672"/>
      <c r="BYY31" s="672"/>
      <c r="BYZ31" s="672"/>
      <c r="BZA31" s="672"/>
      <c r="BZB31" s="672"/>
      <c r="BZC31" s="672"/>
      <c r="BZD31" s="672"/>
      <c r="BZE31" s="672"/>
      <c r="BZF31" s="672"/>
      <c r="BZG31" s="672"/>
      <c r="BZH31" s="672"/>
      <c r="BZI31" s="672"/>
      <c r="BZJ31" s="672"/>
      <c r="BZK31" s="672"/>
      <c r="BZL31" s="672"/>
      <c r="BZM31" s="672"/>
      <c r="BZN31" s="672"/>
      <c r="BZO31" s="672"/>
      <c r="BZP31" s="672"/>
      <c r="BZQ31" s="672"/>
      <c r="BZR31" s="672"/>
      <c r="BZS31" s="672"/>
      <c r="BZT31" s="672"/>
      <c r="BZU31" s="672"/>
      <c r="BZV31" s="672"/>
      <c r="BZW31" s="672"/>
      <c r="BZX31" s="672"/>
      <c r="BZY31" s="672"/>
      <c r="BZZ31" s="672"/>
      <c r="CAA31" s="672"/>
      <c r="CAB31" s="672"/>
      <c r="CAC31" s="672"/>
      <c r="CAD31" s="672"/>
      <c r="CAE31" s="672"/>
      <c r="CAF31" s="672"/>
      <c r="CAG31" s="672"/>
      <c r="CAH31" s="672"/>
      <c r="CAI31" s="672"/>
      <c r="CAJ31" s="672"/>
      <c r="CAK31" s="672"/>
      <c r="CAL31" s="672"/>
      <c r="CAM31" s="672"/>
      <c r="CAN31" s="672"/>
      <c r="CAO31" s="672"/>
      <c r="CAP31" s="672"/>
      <c r="CAQ31" s="672"/>
      <c r="CAR31" s="672"/>
      <c r="CAS31" s="672"/>
      <c r="CAT31" s="672"/>
      <c r="CAU31" s="672"/>
      <c r="CAV31" s="672"/>
      <c r="CAW31" s="672"/>
      <c r="CAX31" s="672"/>
      <c r="CAY31" s="672"/>
      <c r="CAZ31" s="672"/>
      <c r="CBA31" s="672"/>
      <c r="CBB31" s="672"/>
      <c r="CBC31" s="672"/>
      <c r="CBD31" s="672"/>
      <c r="CBE31" s="672"/>
      <c r="CBF31" s="672"/>
      <c r="CBG31" s="672"/>
      <c r="CBH31" s="672"/>
      <c r="CBI31" s="672"/>
      <c r="CBJ31" s="672"/>
      <c r="CBK31" s="672"/>
      <c r="CBL31" s="672"/>
      <c r="CBM31" s="672"/>
      <c r="CBN31" s="672"/>
      <c r="CBO31" s="672"/>
      <c r="CBP31" s="672"/>
      <c r="CBQ31" s="672"/>
      <c r="CBR31" s="672"/>
      <c r="CBS31" s="672"/>
      <c r="CBT31" s="672"/>
      <c r="CBU31" s="672"/>
      <c r="CBV31" s="672"/>
      <c r="CBW31" s="672"/>
      <c r="CBX31" s="672"/>
      <c r="CBY31" s="672"/>
      <c r="CBZ31" s="672"/>
      <c r="CCA31" s="672"/>
      <c r="CCB31" s="672"/>
      <c r="CCC31" s="672"/>
      <c r="CCD31" s="672"/>
      <c r="CCE31" s="672"/>
      <c r="CCF31" s="672"/>
      <c r="CCG31" s="672"/>
      <c r="CCH31" s="672"/>
      <c r="CCI31" s="672"/>
      <c r="CCJ31" s="672"/>
      <c r="CCK31" s="672"/>
      <c r="CCL31" s="672"/>
      <c r="CCM31" s="672"/>
      <c r="CCN31" s="672"/>
      <c r="CCO31" s="672"/>
      <c r="CCP31" s="672"/>
      <c r="CCQ31" s="672"/>
      <c r="CCR31" s="672"/>
      <c r="CCS31" s="672"/>
      <c r="CCT31" s="672"/>
      <c r="CCU31" s="672"/>
      <c r="CCV31" s="672"/>
      <c r="CCW31" s="672"/>
      <c r="CCX31" s="672"/>
      <c r="CCY31" s="672"/>
      <c r="CCZ31" s="672"/>
      <c r="CDA31" s="672"/>
      <c r="CDB31" s="672"/>
      <c r="CDC31" s="672"/>
      <c r="CDD31" s="672"/>
      <c r="CDE31" s="672"/>
      <c r="CDF31" s="672"/>
      <c r="CDG31" s="672"/>
      <c r="CDH31" s="672"/>
      <c r="CDI31" s="672"/>
      <c r="CDJ31" s="672"/>
      <c r="CDK31" s="672"/>
      <c r="CDL31" s="672"/>
      <c r="CDM31" s="672"/>
      <c r="CDN31" s="672"/>
      <c r="CDO31" s="672"/>
      <c r="CDP31" s="672"/>
      <c r="CDQ31" s="672"/>
      <c r="CDR31" s="672"/>
      <c r="CDS31" s="672"/>
      <c r="CDT31" s="672"/>
      <c r="CDU31" s="672"/>
      <c r="CDV31" s="672"/>
      <c r="CDW31" s="672"/>
      <c r="CDX31" s="672"/>
      <c r="CDY31" s="672"/>
      <c r="CDZ31" s="672"/>
      <c r="CEA31" s="672"/>
      <c r="CEB31" s="672"/>
      <c r="CEC31" s="672"/>
      <c r="CED31" s="672"/>
      <c r="CEE31" s="672"/>
      <c r="CEF31" s="672"/>
      <c r="CEG31" s="672"/>
      <c r="CEH31" s="672"/>
      <c r="CEI31" s="672"/>
      <c r="CEJ31" s="672"/>
      <c r="CEK31" s="672"/>
      <c r="CEL31" s="672"/>
      <c r="CEM31" s="672"/>
      <c r="CEN31" s="672"/>
      <c r="CEO31" s="672"/>
      <c r="CEP31" s="672"/>
      <c r="CEQ31" s="672"/>
      <c r="CER31" s="672"/>
      <c r="CES31" s="672"/>
      <c r="CET31" s="672"/>
      <c r="CEU31" s="672"/>
      <c r="CEV31" s="672"/>
      <c r="CEW31" s="672"/>
      <c r="CEX31" s="672"/>
      <c r="CEY31" s="672"/>
      <c r="CEZ31" s="672"/>
      <c r="CFA31" s="672"/>
      <c r="CFB31" s="672"/>
      <c r="CFC31" s="672"/>
      <c r="CFD31" s="672"/>
      <c r="CFE31" s="672"/>
      <c r="CFF31" s="672"/>
      <c r="CFG31" s="672"/>
      <c r="CFH31" s="672"/>
      <c r="CFI31" s="672"/>
      <c r="CFJ31" s="672"/>
      <c r="CFK31" s="672"/>
      <c r="CFL31" s="672"/>
      <c r="CFM31" s="672"/>
      <c r="CFN31" s="672"/>
      <c r="CFO31" s="672"/>
      <c r="CFP31" s="672"/>
      <c r="CFQ31" s="672"/>
      <c r="CFR31" s="672"/>
      <c r="CFS31" s="672"/>
      <c r="CFT31" s="672"/>
      <c r="CFU31" s="672"/>
      <c r="CFV31" s="672"/>
      <c r="CFW31" s="672"/>
      <c r="CFX31" s="672"/>
      <c r="CFY31" s="672"/>
      <c r="CFZ31" s="672"/>
      <c r="CGA31" s="672"/>
      <c r="CGB31" s="672"/>
      <c r="CGC31" s="672"/>
      <c r="CGD31" s="672"/>
      <c r="CGE31" s="672"/>
      <c r="CGF31" s="672"/>
      <c r="CGG31" s="672"/>
      <c r="CGH31" s="672"/>
      <c r="CGI31" s="672"/>
      <c r="CGJ31" s="672"/>
      <c r="CGK31" s="672"/>
      <c r="CGL31" s="672"/>
      <c r="CGM31" s="672"/>
      <c r="CGN31" s="672"/>
      <c r="CGO31" s="672"/>
      <c r="CGP31" s="672"/>
      <c r="CGQ31" s="672"/>
      <c r="CGR31" s="672"/>
      <c r="CGS31" s="672"/>
      <c r="CGT31" s="672"/>
      <c r="CGU31" s="672"/>
      <c r="CGV31" s="672"/>
      <c r="CGW31" s="672"/>
      <c r="CGX31" s="672"/>
      <c r="CGY31" s="672"/>
      <c r="CGZ31" s="672"/>
      <c r="CHA31" s="672"/>
      <c r="CHB31" s="672"/>
      <c r="CHC31" s="672"/>
      <c r="CHD31" s="672"/>
      <c r="CHE31" s="672"/>
      <c r="CHF31" s="672"/>
      <c r="CHG31" s="672"/>
      <c r="CHH31" s="672"/>
      <c r="CHI31" s="672"/>
      <c r="CHJ31" s="672"/>
      <c r="CHK31" s="672"/>
      <c r="CHL31" s="672"/>
      <c r="CHM31" s="672"/>
      <c r="CHN31" s="672"/>
      <c r="CHO31" s="672"/>
      <c r="CHP31" s="672"/>
      <c r="CHQ31" s="672"/>
      <c r="CHR31" s="672"/>
      <c r="CHS31" s="672"/>
      <c r="CHT31" s="672"/>
      <c r="CHU31" s="672"/>
      <c r="CHV31" s="672"/>
      <c r="CHW31" s="672"/>
      <c r="CHX31" s="672"/>
      <c r="CHY31" s="672"/>
      <c r="CHZ31" s="672"/>
      <c r="CIA31" s="672"/>
      <c r="CIB31" s="672"/>
      <c r="CIC31" s="672"/>
      <c r="CID31" s="672"/>
      <c r="CIE31" s="672"/>
      <c r="CIF31" s="672"/>
      <c r="CIG31" s="672"/>
      <c r="CIH31" s="672"/>
      <c r="CII31" s="672"/>
      <c r="CIJ31" s="672"/>
      <c r="CIK31" s="672"/>
      <c r="CIL31" s="672"/>
      <c r="CIM31" s="672"/>
      <c r="CIN31" s="672"/>
      <c r="CIO31" s="672"/>
      <c r="CIP31" s="672"/>
      <c r="CIQ31" s="672"/>
      <c r="CIR31" s="672"/>
      <c r="CIS31" s="672"/>
      <c r="CIT31" s="672"/>
      <c r="CIU31" s="672"/>
      <c r="CIV31" s="672"/>
      <c r="CIW31" s="672"/>
      <c r="CIX31" s="672"/>
      <c r="CIY31" s="672"/>
      <c r="CIZ31" s="672"/>
      <c r="CJA31" s="672"/>
      <c r="CJB31" s="672"/>
      <c r="CJC31" s="672"/>
      <c r="CJD31" s="672"/>
      <c r="CJE31" s="672"/>
      <c r="CJF31" s="672"/>
      <c r="CJG31" s="672"/>
      <c r="CJH31" s="672"/>
      <c r="CJI31" s="672"/>
      <c r="CJJ31" s="672"/>
      <c r="CJK31" s="672"/>
      <c r="CJL31" s="672"/>
      <c r="CJM31" s="672"/>
      <c r="CJN31" s="672"/>
      <c r="CJO31" s="672"/>
      <c r="CJP31" s="672"/>
      <c r="CJQ31" s="672"/>
      <c r="CJR31" s="672"/>
      <c r="CJS31" s="672"/>
      <c r="CJT31" s="672"/>
      <c r="CJU31" s="672"/>
      <c r="CJV31" s="672"/>
      <c r="CJW31" s="672"/>
      <c r="CJX31" s="672"/>
      <c r="CJY31" s="672"/>
      <c r="CJZ31" s="672"/>
      <c r="CKA31" s="672"/>
      <c r="CKB31" s="672"/>
      <c r="CKC31" s="672"/>
      <c r="CKD31" s="672"/>
      <c r="CKE31" s="672"/>
      <c r="CKF31" s="672"/>
      <c r="CKG31" s="672"/>
      <c r="CKH31" s="672"/>
      <c r="CKI31" s="672"/>
      <c r="CKJ31" s="672"/>
      <c r="CKK31" s="672"/>
      <c r="CKL31" s="672"/>
      <c r="CKM31" s="672"/>
      <c r="CKN31" s="672"/>
      <c r="CKO31" s="672"/>
      <c r="CKP31" s="672"/>
      <c r="CKQ31" s="672"/>
      <c r="CKR31" s="672"/>
      <c r="CKS31" s="672"/>
      <c r="CKT31" s="672"/>
      <c r="CKU31" s="672"/>
      <c r="CKV31" s="672"/>
      <c r="CKW31" s="672"/>
      <c r="CKX31" s="672"/>
      <c r="CKY31" s="672"/>
      <c r="CKZ31" s="672"/>
      <c r="CLA31" s="672"/>
      <c r="CLB31" s="672"/>
      <c r="CLC31" s="672"/>
      <c r="CLD31" s="672"/>
      <c r="CLE31" s="672"/>
      <c r="CLF31" s="672"/>
      <c r="CLG31" s="672"/>
      <c r="CLH31" s="672"/>
      <c r="CLI31" s="672"/>
      <c r="CLJ31" s="672"/>
      <c r="CLK31" s="672"/>
      <c r="CLL31" s="672"/>
      <c r="CLM31" s="672"/>
      <c r="CLN31" s="672"/>
      <c r="CLO31" s="672"/>
      <c r="CLP31" s="672"/>
      <c r="CLQ31" s="672"/>
      <c r="CLR31" s="672"/>
      <c r="CLS31" s="672"/>
      <c r="CLT31" s="672"/>
      <c r="CLU31" s="672"/>
      <c r="CLV31" s="672"/>
      <c r="CLW31" s="672"/>
      <c r="CLX31" s="672"/>
      <c r="CLY31" s="672"/>
      <c r="CLZ31" s="672"/>
      <c r="CMA31" s="672"/>
      <c r="CMB31" s="672"/>
      <c r="CMC31" s="672"/>
      <c r="CMD31" s="672"/>
      <c r="CME31" s="672"/>
      <c r="CMF31" s="672"/>
      <c r="CMG31" s="672"/>
      <c r="CMH31" s="672"/>
      <c r="CMI31" s="672"/>
      <c r="CMJ31" s="672"/>
      <c r="CMK31" s="672"/>
      <c r="CML31" s="672"/>
      <c r="CMM31" s="672"/>
      <c r="CMN31" s="672"/>
      <c r="CMO31" s="672"/>
      <c r="CMP31" s="672"/>
      <c r="CMQ31" s="672"/>
      <c r="CMR31" s="672"/>
      <c r="CMS31" s="672"/>
      <c r="CMT31" s="672"/>
      <c r="CMU31" s="672"/>
      <c r="CMV31" s="672"/>
      <c r="CMW31" s="672"/>
      <c r="CMX31" s="672"/>
      <c r="CMY31" s="672"/>
      <c r="CMZ31" s="672"/>
      <c r="CNA31" s="672"/>
      <c r="CNB31" s="672"/>
      <c r="CNC31" s="672"/>
      <c r="CND31" s="672"/>
      <c r="CNE31" s="672"/>
      <c r="CNF31" s="672"/>
      <c r="CNG31" s="672"/>
      <c r="CNH31" s="672"/>
      <c r="CNI31" s="672"/>
      <c r="CNJ31" s="672"/>
      <c r="CNK31" s="672"/>
      <c r="CNL31" s="672"/>
      <c r="CNM31" s="672"/>
      <c r="CNN31" s="672"/>
      <c r="CNO31" s="672"/>
      <c r="CNP31" s="672"/>
      <c r="CNQ31" s="672"/>
      <c r="CNR31" s="672"/>
      <c r="CNS31" s="672"/>
      <c r="CNT31" s="672"/>
      <c r="CNU31" s="672"/>
      <c r="CNV31" s="672"/>
      <c r="CNW31" s="672"/>
      <c r="CNX31" s="672"/>
      <c r="CNY31" s="672"/>
      <c r="CNZ31" s="672"/>
      <c r="COA31" s="672"/>
      <c r="COB31" s="672"/>
      <c r="COC31" s="672"/>
      <c r="COD31" s="672"/>
      <c r="COE31" s="672"/>
      <c r="COF31" s="672"/>
      <c r="COG31" s="672"/>
      <c r="COH31" s="672"/>
      <c r="COI31" s="672"/>
      <c r="COJ31" s="672"/>
      <c r="COK31" s="672"/>
      <c r="COL31" s="672"/>
      <c r="COM31" s="672"/>
      <c r="CON31" s="672"/>
      <c r="COO31" s="672"/>
      <c r="COP31" s="672"/>
      <c r="COQ31" s="672"/>
      <c r="COR31" s="672"/>
      <c r="COS31" s="672"/>
      <c r="COT31" s="672"/>
      <c r="COU31" s="672"/>
      <c r="COV31" s="672"/>
      <c r="COW31" s="672"/>
      <c r="COX31" s="672"/>
      <c r="COY31" s="672"/>
      <c r="COZ31" s="672"/>
      <c r="CPA31" s="672"/>
      <c r="CPB31" s="672"/>
      <c r="CPC31" s="672"/>
      <c r="CPD31" s="672"/>
      <c r="CPE31" s="672"/>
      <c r="CPF31" s="672"/>
      <c r="CPG31" s="672"/>
      <c r="CPH31" s="672"/>
      <c r="CPI31" s="672"/>
      <c r="CPJ31" s="672"/>
      <c r="CPK31" s="672"/>
      <c r="CPL31" s="672"/>
      <c r="CPM31" s="672"/>
      <c r="CPN31" s="672"/>
      <c r="CPO31" s="672"/>
      <c r="CPP31" s="672"/>
      <c r="CPQ31" s="672"/>
      <c r="CPR31" s="672"/>
      <c r="CPS31" s="672"/>
      <c r="CPT31" s="672"/>
      <c r="CPU31" s="672"/>
      <c r="CPV31" s="672"/>
      <c r="CPW31" s="672"/>
      <c r="CPX31" s="672"/>
      <c r="CPY31" s="672"/>
      <c r="CPZ31" s="672"/>
      <c r="CQA31" s="672"/>
      <c r="CQB31" s="672"/>
      <c r="CQC31" s="672"/>
      <c r="CQD31" s="672"/>
      <c r="CQE31" s="672"/>
      <c r="CQF31" s="672"/>
      <c r="CQG31" s="672"/>
      <c r="CQH31" s="672"/>
      <c r="CQI31" s="672"/>
      <c r="CQJ31" s="672"/>
      <c r="CQK31" s="672"/>
      <c r="CQL31" s="672"/>
      <c r="CQM31" s="672"/>
      <c r="CQN31" s="672"/>
      <c r="CQO31" s="672"/>
      <c r="CQP31" s="672"/>
      <c r="CQQ31" s="672"/>
      <c r="CQR31" s="672"/>
      <c r="CQS31" s="672"/>
      <c r="CQT31" s="672"/>
      <c r="CQU31" s="672"/>
      <c r="CQV31" s="672"/>
      <c r="CQW31" s="672"/>
      <c r="CQX31" s="672"/>
      <c r="CQY31" s="672"/>
      <c r="CQZ31" s="672"/>
      <c r="CRA31" s="672"/>
      <c r="CRB31" s="672"/>
      <c r="CRC31" s="672"/>
      <c r="CRD31" s="672"/>
      <c r="CRE31" s="672"/>
      <c r="CRF31" s="672"/>
      <c r="CRG31" s="672"/>
      <c r="CRH31" s="672"/>
      <c r="CRI31" s="672"/>
      <c r="CRJ31" s="672"/>
      <c r="CRK31" s="672"/>
      <c r="CRL31" s="672"/>
      <c r="CRM31" s="672"/>
      <c r="CRN31" s="672"/>
      <c r="CRO31" s="672"/>
      <c r="CRP31" s="672"/>
      <c r="CRQ31" s="672"/>
      <c r="CRR31" s="672"/>
      <c r="CRS31" s="672"/>
      <c r="CRT31" s="672"/>
      <c r="CRU31" s="672"/>
      <c r="CRV31" s="672"/>
      <c r="CRW31" s="672"/>
      <c r="CRX31" s="672"/>
      <c r="CRY31" s="672"/>
      <c r="CRZ31" s="672"/>
      <c r="CSA31" s="672"/>
      <c r="CSB31" s="672"/>
      <c r="CSC31" s="672"/>
      <c r="CSD31" s="672"/>
      <c r="CSE31" s="672"/>
      <c r="CSF31" s="672"/>
      <c r="CSG31" s="672"/>
      <c r="CSH31" s="672"/>
      <c r="CSI31" s="672"/>
      <c r="CSJ31" s="672"/>
      <c r="CSK31" s="672"/>
      <c r="CSL31" s="672"/>
      <c r="CSM31" s="672"/>
      <c r="CSN31" s="672"/>
      <c r="CSO31" s="672"/>
      <c r="CSP31" s="672"/>
      <c r="CSQ31" s="672"/>
      <c r="CSR31" s="672"/>
      <c r="CSS31" s="672"/>
      <c r="CST31" s="672"/>
      <c r="CSU31" s="672"/>
      <c r="CSV31" s="672"/>
      <c r="CSW31" s="672"/>
      <c r="CSX31" s="672"/>
      <c r="CSY31" s="672"/>
      <c r="CSZ31" s="672"/>
      <c r="CTA31" s="672"/>
      <c r="CTB31" s="672"/>
      <c r="CTC31" s="672"/>
      <c r="CTD31" s="672"/>
      <c r="CTE31" s="672"/>
      <c r="CTF31" s="672"/>
      <c r="CTG31" s="672"/>
      <c r="CTH31" s="672"/>
      <c r="CTI31" s="672"/>
      <c r="CTJ31" s="672"/>
      <c r="CTK31" s="672"/>
      <c r="CTL31" s="672"/>
      <c r="CTM31" s="672"/>
      <c r="CTN31" s="672"/>
      <c r="CTO31" s="672"/>
      <c r="CTP31" s="672"/>
      <c r="CTQ31" s="672"/>
      <c r="CTR31" s="672"/>
      <c r="CTS31" s="672"/>
      <c r="CTT31" s="672"/>
      <c r="CTU31" s="672"/>
      <c r="CTV31" s="672"/>
      <c r="CTW31" s="672"/>
      <c r="CTX31" s="672"/>
      <c r="CTY31" s="672"/>
      <c r="CTZ31" s="672"/>
      <c r="CUA31" s="672"/>
      <c r="CUB31" s="672"/>
      <c r="CUC31" s="672"/>
      <c r="CUD31" s="672"/>
      <c r="CUE31" s="672"/>
      <c r="CUF31" s="672"/>
      <c r="CUG31" s="672"/>
      <c r="CUH31" s="672"/>
      <c r="CUI31" s="672"/>
      <c r="CUJ31" s="672"/>
      <c r="CUK31" s="672"/>
      <c r="CUL31" s="672"/>
      <c r="CUM31" s="672"/>
      <c r="CUN31" s="672"/>
      <c r="CUO31" s="672"/>
      <c r="CUP31" s="672"/>
      <c r="CUQ31" s="672"/>
      <c r="CUR31" s="672"/>
      <c r="CUS31" s="672"/>
      <c r="CUT31" s="672"/>
      <c r="CUU31" s="672"/>
      <c r="CUV31" s="672"/>
      <c r="CUW31" s="672"/>
      <c r="CUX31" s="672"/>
      <c r="CUY31" s="672"/>
      <c r="CUZ31" s="672"/>
      <c r="CVA31" s="672"/>
      <c r="CVB31" s="672"/>
      <c r="CVC31" s="672"/>
      <c r="CVD31" s="672"/>
      <c r="CVE31" s="672"/>
      <c r="CVF31" s="672"/>
      <c r="CVG31" s="672"/>
      <c r="CVH31" s="672"/>
      <c r="CVI31" s="672"/>
      <c r="CVJ31" s="672"/>
      <c r="CVK31" s="672"/>
      <c r="CVL31" s="672"/>
      <c r="CVM31" s="672"/>
      <c r="CVN31" s="672"/>
      <c r="CVO31" s="672"/>
      <c r="CVP31" s="672"/>
      <c r="CVQ31" s="672"/>
      <c r="CVR31" s="672"/>
      <c r="CVS31" s="672"/>
      <c r="CVT31" s="672"/>
      <c r="CVU31" s="672"/>
      <c r="CVV31" s="672"/>
      <c r="CVW31" s="672"/>
      <c r="CVX31" s="672"/>
      <c r="CVY31" s="672"/>
      <c r="CVZ31" s="672"/>
      <c r="CWA31" s="672"/>
      <c r="CWB31" s="672"/>
      <c r="CWC31" s="672"/>
      <c r="CWD31" s="672"/>
      <c r="CWE31" s="672"/>
      <c r="CWF31" s="672"/>
      <c r="CWG31" s="672"/>
      <c r="CWH31" s="672"/>
      <c r="CWI31" s="672"/>
      <c r="CWJ31" s="672"/>
      <c r="CWK31" s="672"/>
      <c r="CWL31" s="672"/>
      <c r="CWM31" s="672"/>
      <c r="CWN31" s="672"/>
      <c r="CWO31" s="672"/>
      <c r="CWP31" s="672"/>
      <c r="CWQ31" s="672"/>
      <c r="CWR31" s="672"/>
      <c r="CWS31" s="672"/>
      <c r="CWT31" s="672"/>
      <c r="CWU31" s="672"/>
      <c r="CWV31" s="672"/>
      <c r="CWW31" s="672"/>
      <c r="CWX31" s="672"/>
      <c r="CWY31" s="672"/>
      <c r="CWZ31" s="672"/>
      <c r="CXA31" s="672"/>
      <c r="CXB31" s="672"/>
      <c r="CXC31" s="672"/>
      <c r="CXD31" s="672"/>
      <c r="CXE31" s="672"/>
      <c r="CXF31" s="672"/>
      <c r="CXG31" s="672"/>
      <c r="CXH31" s="672"/>
      <c r="CXI31" s="672"/>
      <c r="CXJ31" s="672"/>
      <c r="CXK31" s="672"/>
      <c r="CXL31" s="672"/>
      <c r="CXM31" s="672"/>
      <c r="CXN31" s="672"/>
      <c r="CXO31" s="672"/>
      <c r="CXP31" s="672"/>
      <c r="CXQ31" s="672"/>
      <c r="CXR31" s="672"/>
      <c r="CXS31" s="672"/>
      <c r="CXT31" s="672"/>
      <c r="CXU31" s="672"/>
      <c r="CXV31" s="672"/>
      <c r="CXW31" s="672"/>
      <c r="CXX31" s="672"/>
      <c r="CXY31" s="672"/>
      <c r="CXZ31" s="672"/>
      <c r="CYA31" s="672"/>
      <c r="CYB31" s="672"/>
      <c r="CYC31" s="672"/>
      <c r="CYD31" s="672"/>
      <c r="CYE31" s="672"/>
      <c r="CYF31" s="672"/>
      <c r="CYG31" s="672"/>
      <c r="CYH31" s="672"/>
      <c r="CYI31" s="672"/>
      <c r="CYJ31" s="672"/>
      <c r="CYK31" s="672"/>
      <c r="CYL31" s="672"/>
      <c r="CYM31" s="672"/>
      <c r="CYN31" s="672"/>
      <c r="CYO31" s="672"/>
      <c r="CYP31" s="672"/>
      <c r="CYQ31" s="672"/>
      <c r="CYR31" s="672"/>
      <c r="CYS31" s="672"/>
      <c r="CYT31" s="672"/>
      <c r="CYU31" s="672"/>
      <c r="CYV31" s="672"/>
      <c r="CYW31" s="672"/>
      <c r="CYX31" s="672"/>
      <c r="CYY31" s="672"/>
      <c r="CYZ31" s="672"/>
      <c r="CZA31" s="672"/>
      <c r="CZB31" s="672"/>
      <c r="CZC31" s="672"/>
      <c r="CZD31" s="672"/>
      <c r="CZE31" s="672"/>
      <c r="CZF31" s="672"/>
      <c r="CZG31" s="672"/>
      <c r="CZH31" s="672"/>
      <c r="CZI31" s="672"/>
      <c r="CZJ31" s="672"/>
      <c r="CZK31" s="672"/>
      <c r="CZL31" s="672"/>
      <c r="CZM31" s="672"/>
      <c r="CZN31" s="672"/>
      <c r="CZO31" s="672"/>
      <c r="CZP31" s="672"/>
      <c r="CZQ31" s="672"/>
      <c r="CZR31" s="672"/>
      <c r="CZS31" s="672"/>
      <c r="CZT31" s="672"/>
      <c r="CZU31" s="672"/>
      <c r="CZV31" s="672"/>
      <c r="CZW31" s="672"/>
      <c r="CZX31" s="672"/>
      <c r="CZY31" s="672"/>
      <c r="CZZ31" s="672"/>
      <c r="DAA31" s="672"/>
      <c r="DAB31" s="672"/>
      <c r="DAC31" s="672"/>
      <c r="DAD31" s="672"/>
      <c r="DAE31" s="672"/>
      <c r="DAF31" s="672"/>
      <c r="DAG31" s="672"/>
      <c r="DAH31" s="672"/>
      <c r="DAI31" s="672"/>
      <c r="DAJ31" s="672"/>
      <c r="DAK31" s="672"/>
      <c r="DAL31" s="672"/>
      <c r="DAM31" s="672"/>
      <c r="DAN31" s="672"/>
      <c r="DAO31" s="672"/>
      <c r="DAP31" s="672"/>
      <c r="DAQ31" s="672"/>
      <c r="DAR31" s="672"/>
      <c r="DAS31" s="672"/>
      <c r="DAT31" s="672"/>
      <c r="DAU31" s="672"/>
      <c r="DAV31" s="672"/>
      <c r="DAW31" s="672"/>
      <c r="DAX31" s="672"/>
      <c r="DAY31" s="672"/>
      <c r="DAZ31" s="672"/>
      <c r="DBA31" s="672"/>
      <c r="DBB31" s="672"/>
      <c r="DBC31" s="672"/>
      <c r="DBD31" s="672"/>
      <c r="DBE31" s="672"/>
      <c r="DBF31" s="672"/>
      <c r="DBG31" s="672"/>
      <c r="DBH31" s="672"/>
      <c r="DBI31" s="672"/>
      <c r="DBJ31" s="672"/>
      <c r="DBK31" s="672"/>
      <c r="DBL31" s="672"/>
      <c r="DBM31" s="672"/>
      <c r="DBN31" s="672"/>
      <c r="DBO31" s="672"/>
      <c r="DBP31" s="672"/>
      <c r="DBQ31" s="672"/>
      <c r="DBR31" s="672"/>
      <c r="DBS31" s="672"/>
      <c r="DBT31" s="672"/>
      <c r="DBU31" s="672"/>
      <c r="DBV31" s="672"/>
      <c r="DBW31" s="672"/>
      <c r="DBX31" s="672"/>
      <c r="DBY31" s="672"/>
      <c r="DBZ31" s="672"/>
      <c r="DCA31" s="672"/>
      <c r="DCB31" s="672"/>
      <c r="DCC31" s="672"/>
      <c r="DCD31" s="672"/>
      <c r="DCE31" s="672"/>
      <c r="DCF31" s="672"/>
      <c r="DCG31" s="672"/>
      <c r="DCH31" s="672"/>
      <c r="DCI31" s="672"/>
      <c r="DCJ31" s="672"/>
      <c r="DCK31" s="672"/>
      <c r="DCL31" s="672"/>
      <c r="DCM31" s="672"/>
      <c r="DCN31" s="672"/>
      <c r="DCO31" s="672"/>
      <c r="DCP31" s="672"/>
      <c r="DCQ31" s="672"/>
      <c r="DCR31" s="672"/>
      <c r="DCS31" s="672"/>
      <c r="DCT31" s="672"/>
      <c r="DCU31" s="672"/>
      <c r="DCV31" s="672"/>
      <c r="DCW31" s="672"/>
      <c r="DCX31" s="672"/>
      <c r="DCY31" s="672"/>
      <c r="DCZ31" s="672"/>
      <c r="DDA31" s="672"/>
      <c r="DDB31" s="672"/>
      <c r="DDC31" s="672"/>
      <c r="DDD31" s="672"/>
      <c r="DDE31" s="672"/>
      <c r="DDF31" s="672"/>
      <c r="DDG31" s="672"/>
      <c r="DDH31" s="672"/>
      <c r="DDI31" s="672"/>
      <c r="DDJ31" s="672"/>
      <c r="DDK31" s="672"/>
      <c r="DDL31" s="672"/>
      <c r="DDM31" s="672"/>
      <c r="DDN31" s="672"/>
      <c r="DDO31" s="672"/>
      <c r="DDP31" s="672"/>
      <c r="DDQ31" s="672"/>
      <c r="DDR31" s="672"/>
      <c r="DDS31" s="672"/>
      <c r="DDT31" s="672"/>
      <c r="DDU31" s="672"/>
      <c r="DDV31" s="672"/>
      <c r="DDW31" s="672"/>
      <c r="DDX31" s="672"/>
      <c r="DDY31" s="672"/>
      <c r="DDZ31" s="672"/>
      <c r="DEA31" s="672"/>
      <c r="DEB31" s="672"/>
      <c r="DEC31" s="672"/>
      <c r="DED31" s="672"/>
      <c r="DEE31" s="672"/>
      <c r="DEF31" s="672"/>
      <c r="DEG31" s="672"/>
      <c r="DEH31" s="672"/>
      <c r="DEI31" s="672"/>
      <c r="DEJ31" s="672"/>
      <c r="DEK31" s="672"/>
      <c r="DEL31" s="672"/>
      <c r="DEM31" s="672"/>
      <c r="DEN31" s="672"/>
      <c r="DEO31" s="672"/>
      <c r="DEP31" s="672"/>
      <c r="DEQ31" s="672"/>
      <c r="DER31" s="672"/>
      <c r="DES31" s="672"/>
      <c r="DET31" s="672"/>
      <c r="DEU31" s="672"/>
      <c r="DEV31" s="672"/>
      <c r="DEW31" s="672"/>
      <c r="DEX31" s="672"/>
      <c r="DEY31" s="672"/>
      <c r="DEZ31" s="672"/>
      <c r="DFA31" s="672"/>
      <c r="DFB31" s="672"/>
      <c r="DFC31" s="672"/>
      <c r="DFD31" s="672"/>
      <c r="DFE31" s="672"/>
      <c r="DFF31" s="672"/>
      <c r="DFG31" s="672"/>
      <c r="DFH31" s="672"/>
      <c r="DFI31" s="672"/>
      <c r="DFJ31" s="672"/>
      <c r="DFK31" s="672"/>
      <c r="DFL31" s="672"/>
      <c r="DFM31" s="672"/>
      <c r="DFN31" s="672"/>
      <c r="DFO31" s="672"/>
      <c r="DFP31" s="672"/>
      <c r="DFQ31" s="672"/>
      <c r="DFR31" s="672"/>
      <c r="DFS31" s="672"/>
      <c r="DFT31" s="672"/>
      <c r="DFU31" s="672"/>
      <c r="DFV31" s="672"/>
      <c r="DFW31" s="672"/>
      <c r="DFX31" s="672"/>
      <c r="DFY31" s="672"/>
      <c r="DFZ31" s="672"/>
      <c r="DGA31" s="672"/>
      <c r="DGB31" s="672"/>
      <c r="DGC31" s="672"/>
      <c r="DGD31" s="672"/>
      <c r="DGE31" s="672"/>
      <c r="DGF31" s="672"/>
      <c r="DGG31" s="672"/>
      <c r="DGH31" s="672"/>
      <c r="DGI31" s="672"/>
      <c r="DGJ31" s="672"/>
      <c r="DGK31" s="672"/>
      <c r="DGL31" s="672"/>
      <c r="DGM31" s="672"/>
      <c r="DGN31" s="672"/>
      <c r="DGO31" s="672"/>
      <c r="DGP31" s="672"/>
      <c r="DGQ31" s="672"/>
      <c r="DGR31" s="672"/>
      <c r="DGS31" s="672"/>
      <c r="DGT31" s="672"/>
      <c r="DGU31" s="672"/>
      <c r="DGV31" s="672"/>
      <c r="DGW31" s="672"/>
      <c r="DGX31" s="672"/>
      <c r="DGY31" s="672"/>
      <c r="DGZ31" s="672"/>
      <c r="DHA31" s="672"/>
      <c r="DHB31" s="672"/>
      <c r="DHC31" s="672"/>
      <c r="DHD31" s="672"/>
      <c r="DHE31" s="672"/>
      <c r="DHF31" s="672"/>
      <c r="DHG31" s="672"/>
      <c r="DHH31" s="672"/>
      <c r="DHI31" s="672"/>
      <c r="DHJ31" s="672"/>
      <c r="DHK31" s="672"/>
      <c r="DHL31" s="672"/>
      <c r="DHM31" s="672"/>
      <c r="DHN31" s="672"/>
      <c r="DHO31" s="672"/>
      <c r="DHP31" s="672"/>
      <c r="DHQ31" s="672"/>
      <c r="DHR31" s="672"/>
      <c r="DHS31" s="672"/>
      <c r="DHT31" s="672"/>
      <c r="DHU31" s="672"/>
      <c r="DHV31" s="672"/>
      <c r="DHW31" s="672"/>
      <c r="DHX31" s="672"/>
      <c r="DHY31" s="672"/>
      <c r="DHZ31" s="672"/>
      <c r="DIA31" s="672"/>
      <c r="DIB31" s="672"/>
      <c r="DIC31" s="672"/>
      <c r="DID31" s="672"/>
      <c r="DIE31" s="672"/>
      <c r="DIF31" s="672"/>
      <c r="DIG31" s="672"/>
      <c r="DIH31" s="672"/>
      <c r="DII31" s="672"/>
      <c r="DIJ31" s="672"/>
      <c r="DIK31" s="672"/>
      <c r="DIL31" s="672"/>
      <c r="DIM31" s="672"/>
      <c r="DIN31" s="672"/>
      <c r="DIO31" s="672"/>
      <c r="DIP31" s="672"/>
      <c r="DIQ31" s="672"/>
      <c r="DIR31" s="672"/>
      <c r="DIS31" s="672"/>
      <c r="DIT31" s="672"/>
      <c r="DIU31" s="672"/>
      <c r="DIV31" s="672"/>
      <c r="DIW31" s="672"/>
      <c r="DIX31" s="672"/>
      <c r="DIY31" s="672"/>
      <c r="DIZ31" s="672"/>
      <c r="DJA31" s="672"/>
      <c r="DJB31" s="672"/>
      <c r="DJC31" s="672"/>
      <c r="DJD31" s="672"/>
      <c r="DJE31" s="672"/>
      <c r="DJF31" s="672"/>
      <c r="DJG31" s="672"/>
      <c r="DJH31" s="672"/>
      <c r="DJI31" s="672"/>
      <c r="DJJ31" s="672"/>
      <c r="DJK31" s="672"/>
      <c r="DJL31" s="672"/>
      <c r="DJM31" s="672"/>
      <c r="DJN31" s="672"/>
      <c r="DJO31" s="672"/>
      <c r="DJP31" s="672"/>
      <c r="DJQ31" s="672"/>
      <c r="DJR31" s="672"/>
      <c r="DJS31" s="672"/>
      <c r="DJT31" s="672"/>
      <c r="DJU31" s="672"/>
      <c r="DJV31" s="672"/>
      <c r="DJW31" s="672"/>
      <c r="DJX31" s="672"/>
      <c r="DJY31" s="672"/>
      <c r="DJZ31" s="672"/>
      <c r="DKA31" s="672"/>
      <c r="DKB31" s="672"/>
      <c r="DKC31" s="672"/>
      <c r="DKD31" s="672"/>
      <c r="DKE31" s="672"/>
      <c r="DKF31" s="672"/>
      <c r="DKG31" s="672"/>
      <c r="DKH31" s="672"/>
      <c r="DKI31" s="672"/>
      <c r="DKJ31" s="672"/>
      <c r="DKK31" s="672"/>
      <c r="DKL31" s="672"/>
      <c r="DKM31" s="672"/>
      <c r="DKN31" s="672"/>
      <c r="DKO31" s="672"/>
      <c r="DKP31" s="672"/>
      <c r="DKQ31" s="672"/>
      <c r="DKR31" s="672"/>
      <c r="DKS31" s="672"/>
      <c r="DKT31" s="672"/>
      <c r="DKU31" s="672"/>
      <c r="DKV31" s="672"/>
      <c r="DKW31" s="672"/>
      <c r="DKX31" s="672"/>
      <c r="DKY31" s="672"/>
      <c r="DKZ31" s="672"/>
      <c r="DLA31" s="672"/>
      <c r="DLB31" s="672"/>
      <c r="DLC31" s="672"/>
      <c r="DLD31" s="672"/>
      <c r="DLE31" s="672"/>
      <c r="DLF31" s="672"/>
      <c r="DLG31" s="672"/>
      <c r="DLH31" s="672"/>
      <c r="DLI31" s="672"/>
      <c r="DLJ31" s="672"/>
      <c r="DLK31" s="672"/>
      <c r="DLL31" s="672"/>
      <c r="DLM31" s="672"/>
      <c r="DLN31" s="672"/>
      <c r="DLO31" s="672"/>
      <c r="DLP31" s="672"/>
      <c r="DLQ31" s="672"/>
      <c r="DLR31" s="672"/>
      <c r="DLS31" s="672"/>
      <c r="DLT31" s="672"/>
      <c r="DLU31" s="672"/>
      <c r="DLV31" s="672"/>
      <c r="DLW31" s="672"/>
      <c r="DLX31" s="672"/>
      <c r="DLY31" s="672"/>
      <c r="DLZ31" s="672"/>
      <c r="DMA31" s="672"/>
      <c r="DMB31" s="672"/>
      <c r="DMC31" s="672"/>
      <c r="DMD31" s="672"/>
      <c r="DME31" s="672"/>
      <c r="DMF31" s="672"/>
      <c r="DMG31" s="672"/>
      <c r="DMH31" s="672"/>
      <c r="DMI31" s="672"/>
      <c r="DMJ31" s="672"/>
      <c r="DMK31" s="672"/>
      <c r="DML31" s="672"/>
      <c r="DMM31" s="672"/>
      <c r="DMN31" s="672"/>
      <c r="DMO31" s="672"/>
      <c r="DMP31" s="672"/>
      <c r="DMQ31" s="672"/>
      <c r="DMR31" s="672"/>
      <c r="DMS31" s="672"/>
      <c r="DMT31" s="672"/>
      <c r="DMU31" s="672"/>
      <c r="DMV31" s="672"/>
      <c r="DMW31" s="672"/>
      <c r="DMX31" s="672"/>
      <c r="DMY31" s="672"/>
      <c r="DMZ31" s="672"/>
      <c r="DNA31" s="672"/>
      <c r="DNB31" s="672"/>
      <c r="DNC31" s="672"/>
      <c r="DND31" s="672"/>
      <c r="DNE31" s="672"/>
      <c r="DNF31" s="672"/>
      <c r="DNG31" s="672"/>
      <c r="DNH31" s="672"/>
      <c r="DNI31" s="672"/>
      <c r="DNJ31" s="672"/>
      <c r="DNK31" s="672"/>
      <c r="DNL31" s="672"/>
      <c r="DNM31" s="672"/>
      <c r="DNN31" s="672"/>
      <c r="DNO31" s="672"/>
      <c r="DNP31" s="672"/>
      <c r="DNQ31" s="672"/>
      <c r="DNR31" s="672"/>
      <c r="DNS31" s="672"/>
      <c r="DNT31" s="672"/>
      <c r="DNU31" s="672"/>
      <c r="DNV31" s="672"/>
      <c r="DNW31" s="672"/>
      <c r="DNX31" s="672"/>
      <c r="DNY31" s="672"/>
      <c r="DNZ31" s="672"/>
      <c r="DOA31" s="672"/>
      <c r="DOB31" s="672"/>
      <c r="DOC31" s="672"/>
      <c r="DOD31" s="672"/>
      <c r="DOE31" s="672"/>
      <c r="DOF31" s="672"/>
      <c r="DOG31" s="672"/>
      <c r="DOH31" s="672"/>
      <c r="DOI31" s="672"/>
      <c r="DOJ31" s="672"/>
      <c r="DOK31" s="672"/>
      <c r="DOL31" s="672"/>
      <c r="DOM31" s="672"/>
      <c r="DON31" s="672"/>
      <c r="DOO31" s="672"/>
      <c r="DOP31" s="672"/>
      <c r="DOQ31" s="672"/>
      <c r="DOR31" s="672"/>
      <c r="DOS31" s="672"/>
      <c r="DOT31" s="672"/>
      <c r="DOU31" s="672"/>
      <c r="DOV31" s="672"/>
      <c r="DOW31" s="672"/>
      <c r="DOX31" s="672"/>
      <c r="DOY31" s="672"/>
      <c r="DOZ31" s="672"/>
      <c r="DPA31" s="672"/>
      <c r="DPB31" s="672"/>
      <c r="DPC31" s="672"/>
      <c r="DPD31" s="672"/>
      <c r="DPE31" s="672"/>
      <c r="DPF31" s="672"/>
      <c r="DPG31" s="672"/>
      <c r="DPH31" s="672"/>
      <c r="DPI31" s="672"/>
      <c r="DPJ31" s="672"/>
      <c r="DPK31" s="672"/>
      <c r="DPL31" s="672"/>
      <c r="DPM31" s="672"/>
      <c r="DPN31" s="672"/>
      <c r="DPO31" s="672"/>
      <c r="DPP31" s="672"/>
      <c r="DPQ31" s="672"/>
      <c r="DPR31" s="672"/>
      <c r="DPS31" s="672"/>
      <c r="DPT31" s="672"/>
      <c r="DPU31" s="672"/>
      <c r="DPV31" s="672"/>
      <c r="DPW31" s="672"/>
      <c r="DPX31" s="672"/>
      <c r="DPY31" s="672"/>
      <c r="DPZ31" s="672"/>
      <c r="DQA31" s="672"/>
      <c r="DQB31" s="672"/>
      <c r="DQC31" s="672"/>
      <c r="DQD31" s="672"/>
      <c r="DQE31" s="672"/>
      <c r="DQF31" s="672"/>
      <c r="DQG31" s="672"/>
      <c r="DQH31" s="672"/>
      <c r="DQI31" s="672"/>
      <c r="DQJ31" s="672"/>
      <c r="DQK31" s="672"/>
      <c r="DQL31" s="672"/>
      <c r="DQM31" s="672"/>
      <c r="DQN31" s="672"/>
      <c r="DQO31" s="672"/>
      <c r="DQP31" s="672"/>
      <c r="DQQ31" s="672"/>
      <c r="DQR31" s="672"/>
      <c r="DQS31" s="672"/>
      <c r="DQT31" s="672"/>
      <c r="DQU31" s="672"/>
      <c r="DQV31" s="672"/>
      <c r="DQW31" s="672"/>
      <c r="DQX31" s="672"/>
      <c r="DQY31" s="672"/>
      <c r="DQZ31" s="672"/>
      <c r="DRA31" s="672"/>
      <c r="DRB31" s="672"/>
      <c r="DRC31" s="672"/>
      <c r="DRD31" s="672"/>
      <c r="DRE31" s="672"/>
      <c r="DRF31" s="672"/>
      <c r="DRG31" s="672"/>
      <c r="DRH31" s="672"/>
      <c r="DRI31" s="672"/>
      <c r="DRJ31" s="672"/>
      <c r="DRK31" s="672"/>
      <c r="DRL31" s="672"/>
      <c r="DRM31" s="672"/>
      <c r="DRN31" s="672"/>
      <c r="DRO31" s="672"/>
      <c r="DRP31" s="672"/>
      <c r="DRQ31" s="672"/>
      <c r="DRR31" s="672"/>
      <c r="DRS31" s="672"/>
      <c r="DRT31" s="672"/>
      <c r="DRU31" s="672"/>
      <c r="DRV31" s="672"/>
      <c r="DRW31" s="672"/>
      <c r="DRX31" s="672"/>
      <c r="DRY31" s="672"/>
      <c r="DRZ31" s="672"/>
      <c r="DSA31" s="672"/>
      <c r="DSB31" s="672"/>
      <c r="DSC31" s="672"/>
      <c r="DSD31" s="672"/>
      <c r="DSE31" s="672"/>
      <c r="DSF31" s="672"/>
      <c r="DSG31" s="672"/>
      <c r="DSH31" s="672"/>
      <c r="DSI31" s="672"/>
      <c r="DSJ31" s="672"/>
      <c r="DSK31" s="672"/>
      <c r="DSL31" s="672"/>
      <c r="DSM31" s="672"/>
      <c r="DSN31" s="672"/>
      <c r="DSO31" s="672"/>
      <c r="DSP31" s="672"/>
      <c r="DSQ31" s="672"/>
      <c r="DSR31" s="672"/>
      <c r="DSS31" s="672"/>
      <c r="DST31" s="672"/>
      <c r="DSU31" s="672"/>
      <c r="DSV31" s="672"/>
      <c r="DSW31" s="672"/>
      <c r="DSX31" s="672"/>
      <c r="DSY31" s="672"/>
      <c r="DSZ31" s="672"/>
      <c r="DTA31" s="672"/>
      <c r="DTB31" s="672"/>
      <c r="DTC31" s="672"/>
      <c r="DTD31" s="672"/>
      <c r="DTE31" s="672"/>
      <c r="DTF31" s="672"/>
      <c r="DTG31" s="672"/>
      <c r="DTH31" s="672"/>
      <c r="DTI31" s="672"/>
      <c r="DTJ31" s="672"/>
      <c r="DTK31" s="672"/>
      <c r="DTL31" s="672"/>
      <c r="DTM31" s="672"/>
      <c r="DTN31" s="672"/>
      <c r="DTO31" s="672"/>
      <c r="DTP31" s="672"/>
      <c r="DTQ31" s="672"/>
      <c r="DTR31" s="672"/>
      <c r="DTS31" s="672"/>
      <c r="DTT31" s="672"/>
      <c r="DTU31" s="672"/>
      <c r="DTV31" s="672"/>
      <c r="DTW31" s="672"/>
      <c r="DTX31" s="672"/>
      <c r="DTY31" s="672"/>
      <c r="DTZ31" s="672"/>
      <c r="DUA31" s="672"/>
      <c r="DUB31" s="672"/>
      <c r="DUC31" s="672"/>
      <c r="DUD31" s="672"/>
      <c r="DUE31" s="672"/>
      <c r="DUF31" s="672"/>
      <c r="DUG31" s="672"/>
      <c r="DUH31" s="672"/>
      <c r="DUI31" s="672"/>
      <c r="DUJ31" s="672"/>
      <c r="DUK31" s="672"/>
      <c r="DUL31" s="672"/>
      <c r="DUM31" s="672"/>
      <c r="DUN31" s="672"/>
      <c r="DUO31" s="672"/>
      <c r="DUP31" s="672"/>
      <c r="DUQ31" s="672"/>
      <c r="DUR31" s="672"/>
      <c r="DUS31" s="672"/>
      <c r="DUT31" s="672"/>
      <c r="DUU31" s="672"/>
      <c r="DUV31" s="672"/>
      <c r="DUW31" s="672"/>
      <c r="DUX31" s="672"/>
      <c r="DUY31" s="672"/>
      <c r="DUZ31" s="672"/>
      <c r="DVA31" s="672"/>
      <c r="DVB31" s="672"/>
      <c r="DVC31" s="672"/>
      <c r="DVD31" s="672"/>
      <c r="DVE31" s="672"/>
      <c r="DVF31" s="672"/>
      <c r="DVG31" s="672"/>
      <c r="DVH31" s="672"/>
      <c r="DVI31" s="672"/>
      <c r="DVJ31" s="672"/>
      <c r="DVK31" s="672"/>
      <c r="DVL31" s="672"/>
      <c r="DVM31" s="672"/>
      <c r="DVN31" s="672"/>
      <c r="DVO31" s="672"/>
      <c r="DVP31" s="672"/>
      <c r="DVQ31" s="672"/>
      <c r="DVR31" s="672"/>
      <c r="DVS31" s="672"/>
      <c r="DVT31" s="672"/>
      <c r="DVU31" s="672"/>
      <c r="DVV31" s="672"/>
      <c r="DVW31" s="672"/>
      <c r="DVX31" s="672"/>
      <c r="DVY31" s="672"/>
      <c r="DVZ31" s="672"/>
      <c r="DWA31" s="672"/>
      <c r="DWB31" s="672"/>
      <c r="DWC31" s="672"/>
      <c r="DWD31" s="672"/>
      <c r="DWE31" s="672"/>
      <c r="DWF31" s="672"/>
      <c r="DWG31" s="672"/>
      <c r="DWH31" s="672"/>
      <c r="DWI31" s="672"/>
      <c r="DWJ31" s="672"/>
      <c r="DWK31" s="672"/>
      <c r="DWL31" s="672"/>
      <c r="DWM31" s="672"/>
      <c r="DWN31" s="672"/>
      <c r="DWO31" s="672"/>
      <c r="DWP31" s="672"/>
      <c r="DWQ31" s="672"/>
      <c r="DWR31" s="672"/>
      <c r="DWS31" s="672"/>
      <c r="DWT31" s="672"/>
      <c r="DWU31" s="672"/>
      <c r="DWV31" s="672"/>
      <c r="DWW31" s="672"/>
      <c r="DWX31" s="672"/>
      <c r="DWY31" s="672"/>
      <c r="DWZ31" s="672"/>
      <c r="DXA31" s="672"/>
      <c r="DXB31" s="672"/>
      <c r="DXC31" s="672"/>
      <c r="DXD31" s="672"/>
      <c r="DXE31" s="672"/>
      <c r="DXF31" s="672"/>
      <c r="DXG31" s="672"/>
      <c r="DXH31" s="672"/>
      <c r="DXI31" s="672"/>
      <c r="DXJ31" s="672"/>
      <c r="DXK31" s="672"/>
      <c r="DXL31" s="672"/>
      <c r="DXM31" s="672"/>
      <c r="DXN31" s="672"/>
      <c r="DXO31" s="672"/>
      <c r="DXP31" s="672"/>
      <c r="DXQ31" s="672"/>
      <c r="DXR31" s="672"/>
      <c r="DXS31" s="672"/>
      <c r="DXT31" s="672"/>
      <c r="DXU31" s="672"/>
      <c r="DXV31" s="672"/>
      <c r="DXW31" s="672"/>
      <c r="DXX31" s="672"/>
      <c r="DXY31" s="672"/>
      <c r="DXZ31" s="672"/>
      <c r="DYA31" s="672"/>
      <c r="DYB31" s="672"/>
      <c r="DYC31" s="672"/>
      <c r="DYD31" s="672"/>
      <c r="DYE31" s="672"/>
      <c r="DYF31" s="672"/>
      <c r="DYG31" s="672"/>
      <c r="DYH31" s="672"/>
      <c r="DYI31" s="672"/>
      <c r="DYJ31" s="672"/>
      <c r="DYK31" s="672"/>
      <c r="DYL31" s="672"/>
      <c r="DYM31" s="672"/>
      <c r="DYN31" s="672"/>
      <c r="DYO31" s="672"/>
      <c r="DYP31" s="672"/>
      <c r="DYQ31" s="672"/>
      <c r="DYR31" s="672"/>
      <c r="DYS31" s="672"/>
      <c r="DYT31" s="672"/>
      <c r="DYU31" s="672"/>
      <c r="DYV31" s="672"/>
      <c r="DYW31" s="672"/>
      <c r="DYX31" s="672"/>
      <c r="DYY31" s="672"/>
      <c r="DYZ31" s="672"/>
      <c r="DZA31" s="672"/>
      <c r="DZB31" s="672"/>
      <c r="DZC31" s="672"/>
      <c r="DZD31" s="672"/>
      <c r="DZE31" s="672"/>
      <c r="DZF31" s="672"/>
      <c r="DZG31" s="672"/>
      <c r="DZH31" s="672"/>
      <c r="DZI31" s="672"/>
      <c r="DZJ31" s="672"/>
      <c r="DZK31" s="672"/>
      <c r="DZL31" s="672"/>
      <c r="DZM31" s="672"/>
      <c r="DZN31" s="672"/>
      <c r="DZO31" s="672"/>
      <c r="DZP31" s="672"/>
      <c r="DZQ31" s="672"/>
      <c r="DZR31" s="672"/>
      <c r="DZS31" s="672"/>
      <c r="DZT31" s="672"/>
      <c r="DZU31" s="672"/>
      <c r="DZV31" s="672"/>
      <c r="DZW31" s="672"/>
      <c r="DZX31" s="672"/>
      <c r="DZY31" s="672"/>
      <c r="DZZ31" s="672"/>
      <c r="EAA31" s="672"/>
      <c r="EAB31" s="672"/>
      <c r="EAC31" s="672"/>
      <c r="EAD31" s="672"/>
      <c r="EAE31" s="672"/>
      <c r="EAF31" s="672"/>
      <c r="EAG31" s="672"/>
      <c r="EAH31" s="672"/>
      <c r="EAI31" s="672"/>
      <c r="EAJ31" s="672"/>
      <c r="EAK31" s="672"/>
      <c r="EAL31" s="672"/>
      <c r="EAM31" s="672"/>
      <c r="EAN31" s="672"/>
      <c r="EAO31" s="672"/>
      <c r="EAP31" s="672"/>
      <c r="EAQ31" s="672"/>
      <c r="EAR31" s="672"/>
      <c r="EAS31" s="672"/>
      <c r="EAT31" s="672"/>
      <c r="EAU31" s="672"/>
      <c r="EAV31" s="672"/>
      <c r="EAW31" s="672"/>
      <c r="EAX31" s="672"/>
      <c r="EAY31" s="672"/>
      <c r="EAZ31" s="672"/>
      <c r="EBA31" s="672"/>
      <c r="EBB31" s="672"/>
      <c r="EBC31" s="672"/>
      <c r="EBD31" s="672"/>
      <c r="EBE31" s="672"/>
      <c r="EBF31" s="672"/>
      <c r="EBG31" s="672"/>
      <c r="EBH31" s="672"/>
      <c r="EBI31" s="672"/>
      <c r="EBJ31" s="672"/>
      <c r="EBK31" s="672"/>
      <c r="EBL31" s="672"/>
      <c r="EBM31" s="672"/>
      <c r="EBN31" s="672"/>
      <c r="EBO31" s="672"/>
      <c r="EBP31" s="672"/>
      <c r="EBQ31" s="672"/>
      <c r="EBR31" s="672"/>
      <c r="EBS31" s="672"/>
      <c r="EBT31" s="672"/>
      <c r="EBU31" s="672"/>
      <c r="EBV31" s="672"/>
      <c r="EBW31" s="672"/>
      <c r="EBX31" s="672"/>
      <c r="EBY31" s="672"/>
      <c r="EBZ31" s="672"/>
      <c r="ECA31" s="672"/>
      <c r="ECB31" s="672"/>
      <c r="ECC31" s="672"/>
      <c r="ECD31" s="672"/>
      <c r="ECE31" s="672"/>
      <c r="ECF31" s="672"/>
      <c r="ECG31" s="672"/>
      <c r="ECH31" s="672"/>
      <c r="ECI31" s="672"/>
      <c r="ECJ31" s="672"/>
      <c r="ECK31" s="672"/>
      <c r="ECL31" s="672"/>
      <c r="ECM31" s="672"/>
      <c r="ECN31" s="672"/>
      <c r="ECO31" s="672"/>
      <c r="ECP31" s="672"/>
      <c r="ECQ31" s="672"/>
      <c r="ECR31" s="672"/>
      <c r="ECS31" s="672"/>
      <c r="ECT31" s="672"/>
      <c r="ECU31" s="672"/>
      <c r="ECV31" s="672"/>
      <c r="ECW31" s="672"/>
      <c r="ECX31" s="672"/>
      <c r="ECY31" s="672"/>
      <c r="ECZ31" s="672"/>
      <c r="EDA31" s="672"/>
      <c r="EDB31" s="672"/>
      <c r="EDC31" s="672"/>
      <c r="EDD31" s="672"/>
      <c r="EDE31" s="672"/>
      <c r="EDF31" s="672"/>
      <c r="EDG31" s="672"/>
      <c r="EDH31" s="672"/>
      <c r="EDI31" s="672"/>
      <c r="EDJ31" s="672"/>
      <c r="EDK31" s="672"/>
      <c r="EDL31" s="672"/>
      <c r="EDM31" s="672"/>
      <c r="EDN31" s="672"/>
      <c r="EDO31" s="672"/>
      <c r="EDP31" s="672"/>
      <c r="EDQ31" s="672"/>
      <c r="EDR31" s="672"/>
      <c r="EDS31" s="672"/>
      <c r="EDT31" s="672"/>
      <c r="EDU31" s="672"/>
      <c r="EDV31" s="672"/>
      <c r="EDW31" s="672"/>
      <c r="EDX31" s="672"/>
      <c r="EDY31" s="672"/>
      <c r="EDZ31" s="672"/>
      <c r="EEA31" s="672"/>
      <c r="EEB31" s="672"/>
      <c r="EEC31" s="672"/>
      <c r="EED31" s="672"/>
      <c r="EEE31" s="672"/>
      <c r="EEF31" s="672"/>
      <c r="EEG31" s="672"/>
      <c r="EEH31" s="672"/>
      <c r="EEI31" s="672"/>
      <c r="EEJ31" s="672"/>
      <c r="EEK31" s="672"/>
      <c r="EEL31" s="672"/>
      <c r="EEM31" s="672"/>
      <c r="EEN31" s="672"/>
      <c r="EEO31" s="672"/>
      <c r="EEP31" s="672"/>
      <c r="EEQ31" s="672"/>
      <c r="EER31" s="672"/>
      <c r="EES31" s="672"/>
      <c r="EET31" s="672"/>
      <c r="EEU31" s="672"/>
      <c r="EEV31" s="672"/>
      <c r="EEW31" s="672"/>
      <c r="EEX31" s="672"/>
      <c r="EEY31" s="672"/>
      <c r="EEZ31" s="672"/>
      <c r="EFA31" s="672"/>
      <c r="EFB31" s="672"/>
      <c r="EFC31" s="672"/>
      <c r="EFD31" s="672"/>
      <c r="EFE31" s="672"/>
      <c r="EFF31" s="672"/>
      <c r="EFG31" s="672"/>
      <c r="EFH31" s="672"/>
      <c r="EFI31" s="672"/>
      <c r="EFJ31" s="672"/>
      <c r="EFK31" s="672"/>
      <c r="EFL31" s="672"/>
      <c r="EFM31" s="672"/>
      <c r="EFN31" s="672"/>
      <c r="EFO31" s="672"/>
      <c r="EFP31" s="672"/>
      <c r="EFQ31" s="672"/>
      <c r="EFR31" s="672"/>
      <c r="EFS31" s="672"/>
      <c r="EFT31" s="672"/>
      <c r="EFU31" s="672"/>
      <c r="EFV31" s="672"/>
      <c r="EFW31" s="672"/>
      <c r="EFX31" s="672"/>
      <c r="EFY31" s="672"/>
      <c r="EFZ31" s="672"/>
      <c r="EGA31" s="672"/>
      <c r="EGB31" s="672"/>
      <c r="EGC31" s="672"/>
      <c r="EGD31" s="672"/>
      <c r="EGE31" s="672"/>
      <c r="EGF31" s="672"/>
      <c r="EGG31" s="672"/>
      <c r="EGH31" s="672"/>
      <c r="EGI31" s="672"/>
      <c r="EGJ31" s="672"/>
      <c r="EGK31" s="672"/>
      <c r="EGL31" s="672"/>
      <c r="EGM31" s="672"/>
      <c r="EGN31" s="672"/>
      <c r="EGO31" s="672"/>
      <c r="EGP31" s="672"/>
      <c r="EGQ31" s="672"/>
      <c r="EGR31" s="672"/>
      <c r="EGS31" s="672"/>
      <c r="EGT31" s="672"/>
      <c r="EGU31" s="672"/>
      <c r="EGV31" s="672"/>
      <c r="EGW31" s="672"/>
      <c r="EGX31" s="672"/>
      <c r="EGY31" s="672"/>
      <c r="EGZ31" s="672"/>
      <c r="EHA31" s="672"/>
      <c r="EHB31" s="672"/>
      <c r="EHC31" s="672"/>
      <c r="EHD31" s="672"/>
      <c r="EHE31" s="672"/>
      <c r="EHF31" s="672"/>
      <c r="EHG31" s="672"/>
      <c r="EHH31" s="672"/>
      <c r="EHI31" s="672"/>
      <c r="EHJ31" s="672"/>
      <c r="EHK31" s="672"/>
      <c r="EHL31" s="672"/>
      <c r="EHM31" s="672"/>
      <c r="EHN31" s="672"/>
      <c r="EHO31" s="672"/>
      <c r="EHP31" s="672"/>
      <c r="EHQ31" s="672"/>
      <c r="EHR31" s="672"/>
      <c r="EHS31" s="672"/>
      <c r="EHT31" s="672"/>
      <c r="EHU31" s="672"/>
      <c r="EHV31" s="672"/>
      <c r="EHW31" s="672"/>
      <c r="EHX31" s="672"/>
      <c r="EHY31" s="672"/>
      <c r="EHZ31" s="672"/>
      <c r="EIA31" s="672"/>
      <c r="EIB31" s="672"/>
      <c r="EIC31" s="672"/>
      <c r="EID31" s="672"/>
      <c r="EIE31" s="672"/>
      <c r="EIF31" s="672"/>
      <c r="EIG31" s="672"/>
      <c r="EIH31" s="672"/>
      <c r="EII31" s="672"/>
      <c r="EIJ31" s="672"/>
      <c r="EIK31" s="672"/>
      <c r="EIL31" s="672"/>
      <c r="EIM31" s="672"/>
      <c r="EIN31" s="672"/>
      <c r="EIO31" s="672"/>
      <c r="EIP31" s="672"/>
      <c r="EIQ31" s="672"/>
      <c r="EIR31" s="672"/>
      <c r="EIS31" s="672"/>
      <c r="EIT31" s="672"/>
      <c r="EIU31" s="672"/>
      <c r="EIV31" s="672"/>
      <c r="EIW31" s="672"/>
      <c r="EIX31" s="672"/>
      <c r="EIY31" s="672"/>
      <c r="EIZ31" s="672"/>
      <c r="EJA31" s="672"/>
      <c r="EJB31" s="672"/>
      <c r="EJC31" s="672"/>
      <c r="EJD31" s="672"/>
      <c r="EJE31" s="672"/>
      <c r="EJF31" s="672"/>
      <c r="EJG31" s="672"/>
      <c r="EJH31" s="672"/>
      <c r="EJI31" s="672"/>
      <c r="EJJ31" s="672"/>
      <c r="EJK31" s="672"/>
      <c r="EJL31" s="672"/>
      <c r="EJM31" s="672"/>
      <c r="EJN31" s="672"/>
      <c r="EJO31" s="672"/>
      <c r="EJP31" s="672"/>
      <c r="EJQ31" s="672"/>
      <c r="EJR31" s="672"/>
      <c r="EJS31" s="672"/>
      <c r="EJT31" s="672"/>
      <c r="EJU31" s="672"/>
      <c r="EJV31" s="672"/>
      <c r="EJW31" s="672"/>
      <c r="EJX31" s="672"/>
      <c r="EJY31" s="672"/>
      <c r="EJZ31" s="672"/>
      <c r="EKA31" s="672"/>
      <c r="EKB31" s="672"/>
      <c r="EKC31" s="672"/>
      <c r="EKD31" s="672"/>
      <c r="EKE31" s="672"/>
      <c r="EKF31" s="672"/>
      <c r="EKG31" s="672"/>
      <c r="EKH31" s="672"/>
      <c r="EKI31" s="672"/>
      <c r="EKJ31" s="672"/>
      <c r="EKK31" s="672"/>
      <c r="EKL31" s="672"/>
      <c r="EKM31" s="672"/>
      <c r="EKN31" s="672"/>
      <c r="EKO31" s="672"/>
      <c r="EKP31" s="672"/>
      <c r="EKQ31" s="672"/>
      <c r="EKR31" s="672"/>
      <c r="EKS31" s="672"/>
      <c r="EKT31" s="672"/>
      <c r="EKU31" s="672"/>
      <c r="EKV31" s="672"/>
      <c r="EKW31" s="672"/>
      <c r="EKX31" s="672"/>
      <c r="EKY31" s="672"/>
      <c r="EKZ31" s="672"/>
      <c r="ELA31" s="672"/>
      <c r="ELB31" s="672"/>
      <c r="ELC31" s="672"/>
      <c r="ELD31" s="672"/>
      <c r="ELE31" s="672"/>
      <c r="ELF31" s="672"/>
      <c r="ELG31" s="672"/>
      <c r="ELH31" s="672"/>
      <c r="ELI31" s="672"/>
      <c r="ELJ31" s="672"/>
      <c r="ELK31" s="672"/>
      <c r="ELL31" s="672"/>
      <c r="ELM31" s="672"/>
      <c r="ELN31" s="672"/>
      <c r="ELO31" s="672"/>
      <c r="ELP31" s="672"/>
      <c r="ELQ31" s="672"/>
      <c r="ELR31" s="672"/>
      <c r="ELS31" s="672"/>
      <c r="ELT31" s="672"/>
      <c r="ELU31" s="672"/>
      <c r="ELV31" s="672"/>
      <c r="ELW31" s="672"/>
      <c r="ELX31" s="672"/>
      <c r="ELY31" s="672"/>
      <c r="ELZ31" s="672"/>
      <c r="EMA31" s="672"/>
      <c r="EMB31" s="672"/>
      <c r="EMC31" s="672"/>
      <c r="EMD31" s="672"/>
      <c r="EME31" s="672"/>
      <c r="EMF31" s="672"/>
      <c r="EMG31" s="672"/>
      <c r="EMH31" s="672"/>
      <c r="EMI31" s="672"/>
      <c r="EMJ31" s="672"/>
      <c r="EMK31" s="672"/>
      <c r="EML31" s="672"/>
      <c r="EMM31" s="672"/>
      <c r="EMN31" s="672"/>
      <c r="EMO31" s="672"/>
      <c r="EMP31" s="672"/>
      <c r="EMQ31" s="672"/>
      <c r="EMR31" s="672"/>
      <c r="EMS31" s="672"/>
      <c r="EMT31" s="672"/>
      <c r="EMU31" s="672"/>
      <c r="EMV31" s="672"/>
      <c r="EMW31" s="672"/>
      <c r="EMX31" s="672"/>
      <c r="EMY31" s="672"/>
      <c r="EMZ31" s="672"/>
      <c r="ENA31" s="672"/>
      <c r="ENB31" s="672"/>
      <c r="ENC31" s="672"/>
      <c r="END31" s="672"/>
      <c r="ENE31" s="672"/>
      <c r="ENF31" s="672"/>
      <c r="ENG31" s="672"/>
      <c r="ENH31" s="672"/>
      <c r="ENI31" s="672"/>
      <c r="ENJ31" s="672"/>
      <c r="ENK31" s="672"/>
      <c r="ENL31" s="672"/>
      <c r="ENM31" s="672"/>
      <c r="ENN31" s="672"/>
      <c r="ENO31" s="672"/>
      <c r="ENP31" s="672"/>
      <c r="ENQ31" s="672"/>
      <c r="ENR31" s="672"/>
      <c r="ENS31" s="672"/>
      <c r="ENT31" s="672"/>
      <c r="ENU31" s="672"/>
      <c r="ENV31" s="672"/>
      <c r="ENW31" s="672"/>
      <c r="ENX31" s="672"/>
      <c r="ENY31" s="672"/>
      <c r="ENZ31" s="672"/>
      <c r="EOA31" s="672"/>
      <c r="EOB31" s="672"/>
      <c r="EOC31" s="672"/>
      <c r="EOD31" s="672"/>
      <c r="EOE31" s="672"/>
      <c r="EOF31" s="672"/>
      <c r="EOG31" s="672"/>
      <c r="EOH31" s="672"/>
      <c r="EOI31" s="672"/>
      <c r="EOJ31" s="672"/>
      <c r="EOK31" s="672"/>
      <c r="EOL31" s="672"/>
      <c r="EOM31" s="672"/>
      <c r="EON31" s="672"/>
      <c r="EOO31" s="672"/>
      <c r="EOP31" s="672"/>
      <c r="EOQ31" s="672"/>
      <c r="EOR31" s="672"/>
      <c r="EOS31" s="672"/>
      <c r="EOT31" s="672"/>
      <c r="EOU31" s="672"/>
      <c r="EOV31" s="672"/>
      <c r="EOW31" s="672"/>
      <c r="EOX31" s="672"/>
      <c r="EOY31" s="672"/>
      <c r="EOZ31" s="672"/>
      <c r="EPA31" s="672"/>
      <c r="EPB31" s="672"/>
      <c r="EPC31" s="672"/>
      <c r="EPD31" s="672"/>
      <c r="EPE31" s="672"/>
      <c r="EPF31" s="672"/>
      <c r="EPG31" s="672"/>
      <c r="EPH31" s="672"/>
      <c r="EPI31" s="672"/>
      <c r="EPJ31" s="672"/>
      <c r="EPK31" s="672"/>
      <c r="EPL31" s="672"/>
      <c r="EPM31" s="672"/>
      <c r="EPN31" s="672"/>
      <c r="EPO31" s="672"/>
      <c r="EPP31" s="672"/>
      <c r="EPQ31" s="672"/>
      <c r="EPR31" s="672"/>
      <c r="EPS31" s="672"/>
      <c r="EPT31" s="672"/>
      <c r="EPU31" s="672"/>
      <c r="EPV31" s="672"/>
      <c r="EPW31" s="672"/>
      <c r="EPX31" s="672"/>
      <c r="EPY31" s="672"/>
      <c r="EPZ31" s="672"/>
      <c r="EQA31" s="672"/>
      <c r="EQB31" s="672"/>
      <c r="EQC31" s="672"/>
      <c r="EQD31" s="672"/>
      <c r="EQE31" s="672"/>
      <c r="EQF31" s="672"/>
      <c r="EQG31" s="672"/>
      <c r="EQH31" s="672"/>
      <c r="EQI31" s="672"/>
      <c r="EQJ31" s="672"/>
      <c r="EQK31" s="672"/>
      <c r="EQL31" s="672"/>
      <c r="EQM31" s="672"/>
      <c r="EQN31" s="672"/>
      <c r="EQO31" s="672"/>
      <c r="EQP31" s="672"/>
      <c r="EQQ31" s="672"/>
      <c r="EQR31" s="672"/>
      <c r="EQS31" s="672"/>
      <c r="EQT31" s="672"/>
      <c r="EQU31" s="672"/>
      <c r="EQV31" s="672"/>
      <c r="EQW31" s="672"/>
      <c r="EQX31" s="672"/>
      <c r="EQY31" s="672"/>
      <c r="EQZ31" s="672"/>
      <c r="ERA31" s="672"/>
      <c r="ERB31" s="672"/>
      <c r="ERC31" s="672"/>
      <c r="ERD31" s="672"/>
      <c r="ERE31" s="672"/>
      <c r="ERF31" s="672"/>
      <c r="ERG31" s="672"/>
      <c r="ERH31" s="672"/>
      <c r="ERI31" s="672"/>
      <c r="ERJ31" s="672"/>
      <c r="ERK31" s="672"/>
      <c r="ERL31" s="672"/>
      <c r="ERM31" s="672"/>
      <c r="ERN31" s="672"/>
      <c r="ERO31" s="672"/>
      <c r="ERP31" s="672"/>
      <c r="ERQ31" s="672"/>
      <c r="ERR31" s="672"/>
      <c r="ERS31" s="672"/>
      <c r="ERT31" s="672"/>
      <c r="ERU31" s="672"/>
      <c r="ERV31" s="672"/>
      <c r="ERW31" s="672"/>
      <c r="ERX31" s="672"/>
      <c r="ERY31" s="672"/>
      <c r="ERZ31" s="672"/>
      <c r="ESA31" s="672"/>
      <c r="ESB31" s="672"/>
      <c r="ESC31" s="672"/>
      <c r="ESD31" s="672"/>
      <c r="ESE31" s="672"/>
      <c r="ESF31" s="672"/>
      <c r="ESG31" s="672"/>
      <c r="ESH31" s="672"/>
      <c r="ESI31" s="672"/>
      <c r="ESJ31" s="672"/>
      <c r="ESK31" s="672"/>
      <c r="ESL31" s="672"/>
      <c r="ESM31" s="672"/>
      <c r="ESN31" s="672"/>
      <c r="ESO31" s="672"/>
      <c r="ESP31" s="672"/>
      <c r="ESQ31" s="672"/>
      <c r="ESR31" s="672"/>
      <c r="ESS31" s="672"/>
      <c r="EST31" s="672"/>
      <c r="ESU31" s="672"/>
      <c r="ESV31" s="672"/>
      <c r="ESW31" s="672"/>
      <c r="ESX31" s="672"/>
      <c r="ESY31" s="672"/>
      <c r="ESZ31" s="672"/>
      <c r="ETA31" s="672"/>
      <c r="ETB31" s="672"/>
      <c r="ETC31" s="672"/>
      <c r="ETD31" s="672"/>
      <c r="ETE31" s="672"/>
      <c r="ETF31" s="672"/>
      <c r="ETG31" s="672"/>
      <c r="ETH31" s="672"/>
      <c r="ETI31" s="672"/>
      <c r="ETJ31" s="672"/>
      <c r="ETK31" s="672"/>
      <c r="ETL31" s="672"/>
      <c r="ETM31" s="672"/>
      <c r="ETN31" s="672"/>
      <c r="ETO31" s="672"/>
      <c r="ETP31" s="672"/>
      <c r="ETQ31" s="672"/>
      <c r="ETR31" s="672"/>
      <c r="ETS31" s="672"/>
      <c r="ETT31" s="672"/>
      <c r="ETU31" s="672"/>
      <c r="ETV31" s="672"/>
      <c r="ETW31" s="672"/>
      <c r="ETX31" s="672"/>
      <c r="ETY31" s="672"/>
      <c r="ETZ31" s="672"/>
      <c r="EUA31" s="672"/>
      <c r="EUB31" s="672"/>
      <c r="EUC31" s="672"/>
      <c r="EUD31" s="672"/>
      <c r="EUE31" s="672"/>
      <c r="EUF31" s="672"/>
      <c r="EUG31" s="672"/>
      <c r="EUH31" s="672"/>
      <c r="EUI31" s="672"/>
      <c r="EUJ31" s="672"/>
      <c r="EUK31" s="672"/>
      <c r="EUL31" s="672"/>
      <c r="EUM31" s="672"/>
      <c r="EUN31" s="672"/>
      <c r="EUO31" s="672"/>
      <c r="EUP31" s="672"/>
      <c r="EUQ31" s="672"/>
      <c r="EUR31" s="672"/>
      <c r="EUS31" s="672"/>
      <c r="EUT31" s="672"/>
      <c r="EUU31" s="672"/>
      <c r="EUV31" s="672"/>
      <c r="EUW31" s="672"/>
      <c r="EUX31" s="672"/>
      <c r="EUY31" s="672"/>
      <c r="EUZ31" s="672"/>
      <c r="EVA31" s="672"/>
      <c r="EVB31" s="672"/>
      <c r="EVC31" s="672"/>
      <c r="EVD31" s="672"/>
      <c r="EVE31" s="672"/>
      <c r="EVF31" s="672"/>
      <c r="EVG31" s="672"/>
      <c r="EVH31" s="672"/>
      <c r="EVI31" s="672"/>
      <c r="EVJ31" s="672"/>
      <c r="EVK31" s="672"/>
      <c r="EVL31" s="672"/>
      <c r="EVM31" s="672"/>
      <c r="EVN31" s="672"/>
      <c r="EVO31" s="672"/>
      <c r="EVP31" s="672"/>
      <c r="EVQ31" s="672"/>
      <c r="EVR31" s="672"/>
      <c r="EVS31" s="672"/>
      <c r="EVT31" s="672"/>
      <c r="EVU31" s="672"/>
      <c r="EVV31" s="672"/>
      <c r="EVW31" s="672"/>
      <c r="EVX31" s="672"/>
      <c r="EVY31" s="672"/>
      <c r="EVZ31" s="672"/>
      <c r="EWA31" s="672"/>
      <c r="EWB31" s="672"/>
      <c r="EWC31" s="672"/>
      <c r="EWD31" s="672"/>
      <c r="EWE31" s="672"/>
      <c r="EWF31" s="672"/>
      <c r="EWG31" s="672"/>
      <c r="EWH31" s="672"/>
      <c r="EWI31" s="672"/>
      <c r="EWJ31" s="672"/>
      <c r="EWK31" s="672"/>
      <c r="EWL31" s="672"/>
      <c r="EWM31" s="672"/>
      <c r="EWN31" s="672"/>
      <c r="EWO31" s="672"/>
      <c r="EWP31" s="672"/>
      <c r="EWQ31" s="672"/>
      <c r="EWR31" s="672"/>
      <c r="EWS31" s="672"/>
      <c r="EWT31" s="672"/>
      <c r="EWU31" s="672"/>
      <c r="EWV31" s="672"/>
      <c r="EWW31" s="672"/>
      <c r="EWX31" s="672"/>
      <c r="EWY31" s="672"/>
      <c r="EWZ31" s="672"/>
      <c r="EXA31" s="672"/>
      <c r="EXB31" s="672"/>
      <c r="EXC31" s="672"/>
      <c r="EXD31" s="672"/>
      <c r="EXE31" s="672"/>
      <c r="EXF31" s="672"/>
      <c r="EXG31" s="672"/>
      <c r="EXH31" s="672"/>
      <c r="EXI31" s="672"/>
      <c r="EXJ31" s="672"/>
      <c r="EXK31" s="672"/>
      <c r="EXL31" s="672"/>
      <c r="EXM31" s="672"/>
      <c r="EXN31" s="672"/>
      <c r="EXO31" s="672"/>
      <c r="EXP31" s="672"/>
      <c r="EXQ31" s="672"/>
      <c r="EXR31" s="672"/>
      <c r="EXS31" s="672"/>
      <c r="EXT31" s="672"/>
      <c r="EXU31" s="672"/>
      <c r="EXV31" s="672"/>
      <c r="EXW31" s="672"/>
      <c r="EXX31" s="672"/>
      <c r="EXY31" s="672"/>
      <c r="EXZ31" s="672"/>
      <c r="EYA31" s="672"/>
      <c r="EYB31" s="672"/>
      <c r="EYC31" s="672"/>
      <c r="EYD31" s="672"/>
      <c r="EYE31" s="672"/>
      <c r="EYF31" s="672"/>
      <c r="EYG31" s="672"/>
      <c r="EYH31" s="672"/>
      <c r="EYI31" s="672"/>
      <c r="EYJ31" s="672"/>
      <c r="EYK31" s="672"/>
      <c r="EYL31" s="672"/>
      <c r="EYM31" s="672"/>
      <c r="EYN31" s="672"/>
      <c r="EYO31" s="672"/>
      <c r="EYP31" s="672"/>
      <c r="EYQ31" s="672"/>
      <c r="EYR31" s="672"/>
      <c r="EYS31" s="672"/>
      <c r="EYT31" s="672"/>
      <c r="EYU31" s="672"/>
      <c r="EYV31" s="672"/>
      <c r="EYW31" s="672"/>
      <c r="EYX31" s="672"/>
      <c r="EYY31" s="672"/>
      <c r="EYZ31" s="672"/>
      <c r="EZA31" s="672"/>
      <c r="EZB31" s="672"/>
      <c r="EZC31" s="672"/>
      <c r="EZD31" s="672"/>
      <c r="EZE31" s="672"/>
      <c r="EZF31" s="672"/>
      <c r="EZG31" s="672"/>
      <c r="EZH31" s="672"/>
      <c r="EZI31" s="672"/>
      <c r="EZJ31" s="672"/>
      <c r="EZK31" s="672"/>
      <c r="EZL31" s="672"/>
      <c r="EZM31" s="672"/>
      <c r="EZN31" s="672"/>
      <c r="EZO31" s="672"/>
      <c r="EZP31" s="672"/>
      <c r="EZQ31" s="672"/>
      <c r="EZR31" s="672"/>
      <c r="EZS31" s="672"/>
      <c r="EZT31" s="672"/>
      <c r="EZU31" s="672"/>
      <c r="EZV31" s="672"/>
      <c r="EZW31" s="672"/>
      <c r="EZX31" s="672"/>
      <c r="EZY31" s="672"/>
      <c r="EZZ31" s="672"/>
      <c r="FAA31" s="672"/>
      <c r="FAB31" s="672"/>
      <c r="FAC31" s="672"/>
      <c r="FAD31" s="672"/>
      <c r="FAE31" s="672"/>
      <c r="FAF31" s="672"/>
      <c r="FAG31" s="672"/>
      <c r="FAH31" s="672"/>
      <c r="FAI31" s="672"/>
      <c r="FAJ31" s="672"/>
      <c r="FAK31" s="672"/>
      <c r="FAL31" s="672"/>
      <c r="FAM31" s="672"/>
      <c r="FAN31" s="672"/>
      <c r="FAO31" s="672"/>
      <c r="FAP31" s="672"/>
      <c r="FAQ31" s="672"/>
      <c r="FAR31" s="672"/>
      <c r="FAS31" s="672"/>
      <c r="FAT31" s="672"/>
      <c r="FAU31" s="672"/>
      <c r="FAV31" s="672"/>
      <c r="FAW31" s="672"/>
      <c r="FAX31" s="672"/>
      <c r="FAY31" s="672"/>
      <c r="FAZ31" s="672"/>
      <c r="FBA31" s="672"/>
      <c r="FBB31" s="672"/>
      <c r="FBC31" s="672"/>
      <c r="FBD31" s="672"/>
      <c r="FBE31" s="672"/>
      <c r="FBF31" s="672"/>
      <c r="FBG31" s="672"/>
      <c r="FBH31" s="672"/>
      <c r="FBI31" s="672"/>
      <c r="FBJ31" s="672"/>
      <c r="FBK31" s="672"/>
      <c r="FBL31" s="672"/>
      <c r="FBM31" s="672"/>
      <c r="FBN31" s="672"/>
      <c r="FBO31" s="672"/>
      <c r="FBP31" s="672"/>
      <c r="FBQ31" s="672"/>
      <c r="FBR31" s="672"/>
      <c r="FBS31" s="672"/>
      <c r="FBT31" s="672"/>
      <c r="FBU31" s="672"/>
      <c r="FBV31" s="672"/>
      <c r="FBW31" s="672"/>
      <c r="FBX31" s="672"/>
      <c r="FBY31" s="672"/>
      <c r="FBZ31" s="672"/>
      <c r="FCA31" s="672"/>
      <c r="FCB31" s="672"/>
      <c r="FCC31" s="672"/>
      <c r="FCD31" s="672"/>
      <c r="FCE31" s="672"/>
      <c r="FCF31" s="672"/>
      <c r="FCG31" s="672"/>
      <c r="FCH31" s="672"/>
      <c r="FCI31" s="672"/>
      <c r="FCJ31" s="672"/>
      <c r="FCK31" s="672"/>
      <c r="FCL31" s="672"/>
      <c r="FCM31" s="672"/>
      <c r="FCN31" s="672"/>
      <c r="FCO31" s="672"/>
      <c r="FCP31" s="672"/>
      <c r="FCQ31" s="672"/>
      <c r="FCR31" s="672"/>
      <c r="FCS31" s="672"/>
      <c r="FCT31" s="672"/>
      <c r="FCU31" s="672"/>
      <c r="FCV31" s="672"/>
      <c r="FCW31" s="672"/>
      <c r="FCX31" s="672"/>
      <c r="FCY31" s="672"/>
      <c r="FCZ31" s="672"/>
      <c r="FDA31" s="672"/>
      <c r="FDB31" s="672"/>
      <c r="FDC31" s="672"/>
      <c r="FDD31" s="672"/>
      <c r="FDE31" s="672"/>
      <c r="FDF31" s="672"/>
      <c r="FDG31" s="672"/>
      <c r="FDH31" s="672"/>
      <c r="FDI31" s="672"/>
      <c r="FDJ31" s="672"/>
      <c r="FDK31" s="672"/>
      <c r="FDL31" s="672"/>
      <c r="FDM31" s="672"/>
      <c r="FDN31" s="672"/>
      <c r="FDO31" s="672"/>
      <c r="FDP31" s="672"/>
      <c r="FDQ31" s="672"/>
      <c r="FDR31" s="672"/>
      <c r="FDS31" s="672"/>
      <c r="FDT31" s="672"/>
      <c r="FDU31" s="672"/>
      <c r="FDV31" s="672"/>
      <c r="FDW31" s="672"/>
      <c r="FDX31" s="672"/>
      <c r="FDY31" s="672"/>
      <c r="FDZ31" s="672"/>
      <c r="FEA31" s="672"/>
      <c r="FEB31" s="672"/>
      <c r="FEC31" s="672"/>
      <c r="FED31" s="672"/>
      <c r="FEE31" s="672"/>
      <c r="FEF31" s="672"/>
      <c r="FEG31" s="672"/>
      <c r="FEH31" s="672"/>
      <c r="FEI31" s="672"/>
      <c r="FEJ31" s="672"/>
      <c r="FEK31" s="672"/>
      <c r="FEL31" s="672"/>
      <c r="FEM31" s="672"/>
      <c r="FEN31" s="672"/>
      <c r="FEO31" s="672"/>
      <c r="FEP31" s="672"/>
      <c r="FEQ31" s="672"/>
      <c r="FER31" s="672"/>
      <c r="FES31" s="672"/>
      <c r="FET31" s="672"/>
      <c r="FEU31" s="672"/>
      <c r="FEV31" s="672"/>
      <c r="FEW31" s="672"/>
      <c r="FEX31" s="672"/>
      <c r="FEY31" s="672"/>
      <c r="FEZ31" s="672"/>
      <c r="FFA31" s="672"/>
      <c r="FFB31" s="672"/>
      <c r="FFC31" s="672"/>
      <c r="FFD31" s="672"/>
      <c r="FFE31" s="672"/>
      <c r="FFF31" s="672"/>
      <c r="FFG31" s="672"/>
      <c r="FFH31" s="672"/>
      <c r="FFI31" s="672"/>
      <c r="FFJ31" s="672"/>
      <c r="FFK31" s="672"/>
      <c r="FFL31" s="672"/>
      <c r="FFM31" s="672"/>
      <c r="FFN31" s="672"/>
      <c r="FFO31" s="672"/>
      <c r="FFP31" s="672"/>
      <c r="FFQ31" s="672"/>
      <c r="FFR31" s="672"/>
      <c r="FFS31" s="672"/>
      <c r="FFT31" s="672"/>
      <c r="FFU31" s="672"/>
      <c r="FFV31" s="672"/>
      <c r="FFW31" s="672"/>
      <c r="FFX31" s="672"/>
      <c r="FFY31" s="672"/>
      <c r="FFZ31" s="672"/>
      <c r="FGA31" s="672"/>
      <c r="FGB31" s="672"/>
      <c r="FGC31" s="672"/>
      <c r="FGD31" s="672"/>
      <c r="FGE31" s="672"/>
      <c r="FGF31" s="672"/>
      <c r="FGG31" s="672"/>
      <c r="FGH31" s="672"/>
      <c r="FGI31" s="672"/>
      <c r="FGJ31" s="672"/>
      <c r="FGK31" s="672"/>
      <c r="FGL31" s="672"/>
      <c r="FGM31" s="672"/>
      <c r="FGN31" s="672"/>
      <c r="FGO31" s="672"/>
      <c r="FGP31" s="672"/>
      <c r="FGQ31" s="672"/>
      <c r="FGR31" s="672"/>
      <c r="FGS31" s="672"/>
      <c r="FGT31" s="672"/>
      <c r="FGU31" s="672"/>
      <c r="FGV31" s="672"/>
      <c r="FGW31" s="672"/>
      <c r="FGX31" s="672"/>
      <c r="FGY31" s="672"/>
      <c r="FGZ31" s="672"/>
      <c r="FHA31" s="672"/>
      <c r="FHB31" s="672"/>
      <c r="FHC31" s="672"/>
      <c r="FHD31" s="672"/>
      <c r="FHE31" s="672"/>
      <c r="FHF31" s="672"/>
      <c r="FHG31" s="672"/>
      <c r="FHH31" s="672"/>
      <c r="FHI31" s="672"/>
      <c r="FHJ31" s="672"/>
      <c r="FHK31" s="672"/>
      <c r="FHL31" s="672"/>
      <c r="FHM31" s="672"/>
      <c r="FHN31" s="672"/>
      <c r="FHO31" s="672"/>
      <c r="FHP31" s="672"/>
      <c r="FHQ31" s="672"/>
      <c r="FHR31" s="672"/>
      <c r="FHS31" s="672"/>
      <c r="FHT31" s="672"/>
      <c r="FHU31" s="672"/>
      <c r="FHV31" s="672"/>
      <c r="FHW31" s="672"/>
      <c r="FHX31" s="672"/>
      <c r="FHY31" s="672"/>
      <c r="FHZ31" s="672"/>
      <c r="FIA31" s="672"/>
      <c r="FIB31" s="672"/>
      <c r="FIC31" s="672"/>
      <c r="FID31" s="672"/>
      <c r="FIE31" s="672"/>
      <c r="FIF31" s="672"/>
      <c r="FIG31" s="672"/>
      <c r="FIH31" s="672"/>
      <c r="FII31" s="672"/>
      <c r="FIJ31" s="672"/>
      <c r="FIK31" s="672"/>
      <c r="FIL31" s="672"/>
      <c r="FIM31" s="672"/>
      <c r="FIN31" s="672"/>
      <c r="FIO31" s="672"/>
      <c r="FIP31" s="672"/>
      <c r="FIQ31" s="672"/>
      <c r="FIR31" s="672"/>
      <c r="FIS31" s="672"/>
      <c r="FIT31" s="672"/>
      <c r="FIU31" s="672"/>
      <c r="FIV31" s="672"/>
      <c r="FIW31" s="672"/>
      <c r="FIX31" s="672"/>
      <c r="FIY31" s="672"/>
      <c r="FIZ31" s="672"/>
      <c r="FJA31" s="672"/>
      <c r="FJB31" s="672"/>
      <c r="FJC31" s="672"/>
      <c r="FJD31" s="672"/>
      <c r="FJE31" s="672"/>
      <c r="FJF31" s="672"/>
      <c r="FJG31" s="672"/>
      <c r="FJH31" s="672"/>
      <c r="FJI31" s="672"/>
      <c r="FJJ31" s="672"/>
      <c r="FJK31" s="672"/>
      <c r="FJL31" s="672"/>
      <c r="FJM31" s="672"/>
      <c r="FJN31" s="672"/>
      <c r="FJO31" s="672"/>
      <c r="FJP31" s="672"/>
      <c r="FJQ31" s="672"/>
      <c r="FJR31" s="672"/>
      <c r="FJS31" s="672"/>
      <c r="FJT31" s="672"/>
      <c r="FJU31" s="672"/>
      <c r="FJV31" s="672"/>
      <c r="FJW31" s="672"/>
      <c r="FJX31" s="672"/>
      <c r="FJY31" s="672"/>
      <c r="FJZ31" s="672"/>
      <c r="FKA31" s="672"/>
      <c r="FKB31" s="672"/>
      <c r="FKC31" s="672"/>
      <c r="FKD31" s="672"/>
      <c r="FKE31" s="672"/>
      <c r="FKF31" s="672"/>
      <c r="FKG31" s="672"/>
      <c r="FKH31" s="672"/>
      <c r="FKI31" s="672"/>
      <c r="FKJ31" s="672"/>
      <c r="FKK31" s="672"/>
      <c r="FKL31" s="672"/>
      <c r="FKM31" s="672"/>
      <c r="FKN31" s="672"/>
      <c r="FKO31" s="672"/>
      <c r="FKP31" s="672"/>
      <c r="FKQ31" s="672"/>
      <c r="FKR31" s="672"/>
      <c r="FKS31" s="672"/>
      <c r="FKT31" s="672"/>
      <c r="FKU31" s="672"/>
      <c r="FKV31" s="672"/>
      <c r="FKW31" s="672"/>
      <c r="FKX31" s="672"/>
      <c r="FKY31" s="672"/>
      <c r="FKZ31" s="672"/>
      <c r="FLA31" s="672"/>
      <c r="FLB31" s="672"/>
      <c r="FLC31" s="672"/>
      <c r="FLD31" s="672"/>
      <c r="FLE31" s="672"/>
      <c r="FLF31" s="672"/>
      <c r="FLG31" s="672"/>
      <c r="FLH31" s="672"/>
      <c r="FLI31" s="672"/>
      <c r="FLJ31" s="672"/>
      <c r="FLK31" s="672"/>
      <c r="FLL31" s="672"/>
      <c r="FLM31" s="672"/>
      <c r="FLN31" s="672"/>
      <c r="FLO31" s="672"/>
      <c r="FLP31" s="672"/>
      <c r="FLQ31" s="672"/>
      <c r="FLR31" s="672"/>
      <c r="FLS31" s="672"/>
      <c r="FLT31" s="672"/>
      <c r="FLU31" s="672"/>
      <c r="FLV31" s="672"/>
      <c r="FLW31" s="672"/>
      <c r="FLX31" s="672"/>
      <c r="FLY31" s="672"/>
      <c r="FLZ31" s="672"/>
      <c r="FMA31" s="672"/>
      <c r="FMB31" s="672"/>
      <c r="FMC31" s="672"/>
      <c r="FMD31" s="672"/>
      <c r="FME31" s="672"/>
      <c r="FMF31" s="672"/>
      <c r="FMG31" s="672"/>
      <c r="FMH31" s="672"/>
      <c r="FMI31" s="672"/>
      <c r="FMJ31" s="672"/>
      <c r="FMK31" s="672"/>
      <c r="FML31" s="672"/>
      <c r="FMM31" s="672"/>
      <c r="FMN31" s="672"/>
      <c r="FMO31" s="672"/>
      <c r="FMP31" s="672"/>
      <c r="FMQ31" s="672"/>
      <c r="FMR31" s="672"/>
      <c r="FMS31" s="672"/>
      <c r="FMT31" s="672"/>
      <c r="FMU31" s="672"/>
      <c r="FMV31" s="672"/>
      <c r="FMW31" s="672"/>
      <c r="FMX31" s="672"/>
      <c r="FMY31" s="672"/>
      <c r="FMZ31" s="672"/>
      <c r="FNA31" s="672"/>
      <c r="FNB31" s="672"/>
      <c r="FNC31" s="672"/>
      <c r="FND31" s="672"/>
      <c r="FNE31" s="672"/>
      <c r="FNF31" s="672"/>
      <c r="FNG31" s="672"/>
      <c r="FNH31" s="672"/>
      <c r="FNI31" s="672"/>
      <c r="FNJ31" s="672"/>
      <c r="FNK31" s="672"/>
      <c r="FNL31" s="672"/>
      <c r="FNM31" s="672"/>
      <c r="FNN31" s="672"/>
      <c r="FNO31" s="672"/>
      <c r="FNP31" s="672"/>
      <c r="FNQ31" s="672"/>
      <c r="FNR31" s="672"/>
      <c r="FNS31" s="672"/>
      <c r="FNT31" s="672"/>
      <c r="FNU31" s="672"/>
      <c r="FNV31" s="672"/>
      <c r="FNW31" s="672"/>
      <c r="FNX31" s="672"/>
      <c r="FNY31" s="672"/>
      <c r="FNZ31" s="672"/>
      <c r="FOA31" s="672"/>
      <c r="FOB31" s="672"/>
      <c r="FOC31" s="672"/>
      <c r="FOD31" s="672"/>
      <c r="FOE31" s="672"/>
      <c r="FOF31" s="672"/>
      <c r="FOG31" s="672"/>
      <c r="FOH31" s="672"/>
      <c r="FOI31" s="672"/>
      <c r="FOJ31" s="672"/>
      <c r="FOK31" s="672"/>
      <c r="FOL31" s="672"/>
      <c r="FOM31" s="672"/>
      <c r="FON31" s="672"/>
      <c r="FOO31" s="672"/>
      <c r="FOP31" s="672"/>
      <c r="FOQ31" s="672"/>
      <c r="FOR31" s="672"/>
      <c r="FOS31" s="672"/>
      <c r="FOT31" s="672"/>
      <c r="FOU31" s="672"/>
      <c r="FOV31" s="672"/>
      <c r="FOW31" s="672"/>
      <c r="FOX31" s="672"/>
      <c r="FOY31" s="672"/>
      <c r="FOZ31" s="672"/>
      <c r="FPA31" s="672"/>
      <c r="FPB31" s="672"/>
      <c r="FPC31" s="672"/>
      <c r="FPD31" s="672"/>
      <c r="FPE31" s="672"/>
      <c r="FPF31" s="672"/>
      <c r="FPG31" s="672"/>
      <c r="FPH31" s="672"/>
      <c r="FPI31" s="672"/>
      <c r="FPJ31" s="672"/>
      <c r="FPK31" s="672"/>
      <c r="FPL31" s="672"/>
      <c r="FPM31" s="672"/>
      <c r="FPN31" s="672"/>
      <c r="FPO31" s="672"/>
      <c r="FPP31" s="672"/>
      <c r="FPQ31" s="672"/>
      <c r="FPR31" s="672"/>
      <c r="FPS31" s="672"/>
      <c r="FPT31" s="672"/>
      <c r="FPU31" s="672"/>
      <c r="FPV31" s="672"/>
      <c r="FPW31" s="672"/>
      <c r="FPX31" s="672"/>
      <c r="FPY31" s="672"/>
      <c r="FPZ31" s="672"/>
      <c r="FQA31" s="672"/>
      <c r="FQB31" s="672"/>
      <c r="FQC31" s="672"/>
      <c r="FQD31" s="672"/>
      <c r="FQE31" s="672"/>
      <c r="FQF31" s="672"/>
      <c r="FQG31" s="672"/>
      <c r="FQH31" s="672"/>
      <c r="FQI31" s="672"/>
      <c r="FQJ31" s="672"/>
      <c r="FQK31" s="672"/>
      <c r="FQL31" s="672"/>
      <c r="FQM31" s="672"/>
      <c r="FQN31" s="672"/>
      <c r="FQO31" s="672"/>
      <c r="FQP31" s="672"/>
      <c r="FQQ31" s="672"/>
      <c r="FQR31" s="672"/>
      <c r="FQS31" s="672"/>
      <c r="FQT31" s="672"/>
      <c r="FQU31" s="672"/>
      <c r="FQV31" s="672"/>
      <c r="FQW31" s="672"/>
      <c r="FQX31" s="672"/>
      <c r="FQY31" s="672"/>
      <c r="FQZ31" s="672"/>
      <c r="FRA31" s="672"/>
      <c r="FRB31" s="672"/>
      <c r="FRC31" s="672"/>
      <c r="FRD31" s="672"/>
      <c r="FRE31" s="672"/>
      <c r="FRF31" s="672"/>
      <c r="FRG31" s="672"/>
      <c r="FRH31" s="672"/>
      <c r="FRI31" s="672"/>
      <c r="FRJ31" s="672"/>
      <c r="FRK31" s="672"/>
      <c r="FRL31" s="672"/>
      <c r="FRM31" s="672"/>
      <c r="FRN31" s="672"/>
      <c r="FRO31" s="672"/>
      <c r="FRP31" s="672"/>
      <c r="FRQ31" s="672"/>
      <c r="FRR31" s="672"/>
      <c r="FRS31" s="672"/>
      <c r="FRT31" s="672"/>
      <c r="FRU31" s="672"/>
      <c r="FRV31" s="672"/>
      <c r="FRW31" s="672"/>
      <c r="FRX31" s="672"/>
      <c r="FRY31" s="672"/>
      <c r="FRZ31" s="672"/>
      <c r="FSA31" s="672"/>
      <c r="FSB31" s="672"/>
      <c r="FSC31" s="672"/>
      <c r="FSD31" s="672"/>
      <c r="FSE31" s="672"/>
      <c r="FSF31" s="672"/>
      <c r="FSG31" s="672"/>
      <c r="FSH31" s="672"/>
      <c r="FSI31" s="672"/>
      <c r="FSJ31" s="672"/>
      <c r="FSK31" s="672"/>
      <c r="FSL31" s="672"/>
      <c r="FSM31" s="672"/>
      <c r="FSN31" s="672"/>
      <c r="FSO31" s="672"/>
      <c r="FSP31" s="672"/>
      <c r="FSQ31" s="672"/>
      <c r="FSR31" s="672"/>
      <c r="FSS31" s="672"/>
      <c r="FST31" s="672"/>
      <c r="FSU31" s="672"/>
      <c r="FSV31" s="672"/>
      <c r="FSW31" s="672"/>
      <c r="FSX31" s="672"/>
      <c r="FSY31" s="672"/>
      <c r="FSZ31" s="672"/>
      <c r="FTA31" s="672"/>
      <c r="FTB31" s="672"/>
      <c r="FTC31" s="672"/>
      <c r="FTD31" s="672"/>
      <c r="FTE31" s="672"/>
      <c r="FTF31" s="672"/>
      <c r="FTG31" s="672"/>
      <c r="FTH31" s="672"/>
      <c r="FTI31" s="672"/>
      <c r="FTJ31" s="672"/>
      <c r="FTK31" s="672"/>
      <c r="FTL31" s="672"/>
      <c r="FTM31" s="672"/>
      <c r="FTN31" s="672"/>
      <c r="FTO31" s="672"/>
      <c r="FTP31" s="672"/>
      <c r="FTQ31" s="672"/>
      <c r="FTR31" s="672"/>
      <c r="FTS31" s="672"/>
      <c r="FTT31" s="672"/>
      <c r="FTU31" s="672"/>
      <c r="FTV31" s="672"/>
      <c r="FTW31" s="672"/>
      <c r="FTX31" s="672"/>
      <c r="FTY31" s="672"/>
      <c r="FTZ31" s="672"/>
      <c r="FUA31" s="672"/>
      <c r="FUB31" s="672"/>
      <c r="FUC31" s="672"/>
      <c r="FUD31" s="672"/>
      <c r="FUE31" s="672"/>
      <c r="FUF31" s="672"/>
      <c r="FUG31" s="672"/>
      <c r="FUH31" s="672"/>
      <c r="FUI31" s="672"/>
      <c r="FUJ31" s="672"/>
      <c r="FUK31" s="672"/>
      <c r="FUL31" s="672"/>
      <c r="FUM31" s="672"/>
      <c r="FUN31" s="672"/>
      <c r="FUO31" s="672"/>
      <c r="FUP31" s="672"/>
      <c r="FUQ31" s="672"/>
      <c r="FUR31" s="672"/>
      <c r="FUS31" s="672"/>
      <c r="FUT31" s="672"/>
      <c r="FUU31" s="672"/>
      <c r="FUV31" s="672"/>
      <c r="FUW31" s="672"/>
      <c r="FUX31" s="672"/>
      <c r="FUY31" s="672"/>
      <c r="FUZ31" s="672"/>
      <c r="FVA31" s="672"/>
      <c r="FVB31" s="672"/>
      <c r="FVC31" s="672"/>
      <c r="FVD31" s="672"/>
      <c r="FVE31" s="672"/>
      <c r="FVF31" s="672"/>
      <c r="FVG31" s="672"/>
      <c r="FVH31" s="672"/>
      <c r="FVI31" s="672"/>
      <c r="FVJ31" s="672"/>
      <c r="FVK31" s="672"/>
      <c r="FVL31" s="672"/>
      <c r="FVM31" s="672"/>
      <c r="FVN31" s="672"/>
      <c r="FVO31" s="672"/>
      <c r="FVP31" s="672"/>
      <c r="FVQ31" s="672"/>
      <c r="FVR31" s="672"/>
      <c r="FVS31" s="672"/>
      <c r="FVT31" s="672"/>
      <c r="FVU31" s="672"/>
      <c r="FVV31" s="672"/>
      <c r="FVW31" s="672"/>
      <c r="FVX31" s="672"/>
      <c r="FVY31" s="672"/>
      <c r="FVZ31" s="672"/>
      <c r="FWA31" s="672"/>
      <c r="FWB31" s="672"/>
      <c r="FWC31" s="672"/>
      <c r="FWD31" s="672"/>
      <c r="FWE31" s="672"/>
      <c r="FWF31" s="672"/>
      <c r="FWG31" s="672"/>
      <c r="FWH31" s="672"/>
      <c r="FWI31" s="672"/>
      <c r="FWJ31" s="672"/>
      <c r="FWK31" s="672"/>
      <c r="FWL31" s="672"/>
      <c r="FWM31" s="672"/>
      <c r="FWN31" s="672"/>
      <c r="FWO31" s="672"/>
      <c r="FWP31" s="672"/>
      <c r="FWQ31" s="672"/>
      <c r="FWR31" s="672"/>
      <c r="FWS31" s="672"/>
      <c r="FWT31" s="672"/>
      <c r="FWU31" s="672"/>
      <c r="FWV31" s="672"/>
      <c r="FWW31" s="672"/>
      <c r="FWX31" s="672"/>
      <c r="FWY31" s="672"/>
      <c r="FWZ31" s="672"/>
      <c r="FXA31" s="672"/>
      <c r="FXB31" s="672"/>
      <c r="FXC31" s="672"/>
      <c r="FXD31" s="672"/>
      <c r="FXE31" s="672"/>
      <c r="FXF31" s="672"/>
      <c r="FXG31" s="672"/>
      <c r="FXH31" s="672"/>
      <c r="FXI31" s="672"/>
      <c r="FXJ31" s="672"/>
      <c r="FXK31" s="672"/>
      <c r="FXL31" s="672"/>
      <c r="FXM31" s="672"/>
      <c r="FXN31" s="672"/>
      <c r="FXO31" s="672"/>
      <c r="FXP31" s="672"/>
      <c r="FXQ31" s="672"/>
      <c r="FXR31" s="672"/>
      <c r="FXS31" s="672"/>
      <c r="FXT31" s="672"/>
      <c r="FXU31" s="672"/>
      <c r="FXV31" s="672"/>
      <c r="FXW31" s="672"/>
      <c r="FXX31" s="672"/>
      <c r="FXY31" s="672"/>
      <c r="FXZ31" s="672"/>
      <c r="FYA31" s="672"/>
      <c r="FYB31" s="672"/>
      <c r="FYC31" s="672"/>
      <c r="FYD31" s="672"/>
      <c r="FYE31" s="672"/>
      <c r="FYF31" s="672"/>
      <c r="FYG31" s="672"/>
      <c r="FYH31" s="672"/>
      <c r="FYI31" s="672"/>
      <c r="FYJ31" s="672"/>
      <c r="FYK31" s="672"/>
      <c r="FYL31" s="672"/>
      <c r="FYM31" s="672"/>
      <c r="FYN31" s="672"/>
      <c r="FYO31" s="672"/>
      <c r="FYP31" s="672"/>
      <c r="FYQ31" s="672"/>
      <c r="FYR31" s="672"/>
      <c r="FYS31" s="672"/>
      <c r="FYT31" s="672"/>
      <c r="FYU31" s="672"/>
      <c r="FYV31" s="672"/>
      <c r="FYW31" s="672"/>
      <c r="FYX31" s="672"/>
      <c r="FYY31" s="672"/>
      <c r="FYZ31" s="672"/>
      <c r="FZA31" s="672"/>
      <c r="FZB31" s="672"/>
      <c r="FZC31" s="672"/>
      <c r="FZD31" s="672"/>
      <c r="FZE31" s="672"/>
      <c r="FZF31" s="672"/>
      <c r="FZG31" s="672"/>
      <c r="FZH31" s="672"/>
      <c r="FZI31" s="672"/>
      <c r="FZJ31" s="672"/>
      <c r="FZK31" s="672"/>
      <c r="FZL31" s="672"/>
      <c r="FZM31" s="672"/>
      <c r="FZN31" s="672"/>
      <c r="FZO31" s="672"/>
      <c r="FZP31" s="672"/>
      <c r="FZQ31" s="672"/>
      <c r="FZR31" s="672"/>
      <c r="FZS31" s="672"/>
      <c r="FZT31" s="672"/>
      <c r="FZU31" s="672"/>
      <c r="FZV31" s="672"/>
      <c r="FZW31" s="672"/>
      <c r="FZX31" s="672"/>
      <c r="FZY31" s="672"/>
      <c r="FZZ31" s="672"/>
      <c r="GAA31" s="672"/>
      <c r="GAB31" s="672"/>
      <c r="GAC31" s="672"/>
      <c r="GAD31" s="672"/>
      <c r="GAE31" s="672"/>
      <c r="GAF31" s="672"/>
      <c r="GAG31" s="672"/>
      <c r="GAH31" s="672"/>
      <c r="GAI31" s="672"/>
      <c r="GAJ31" s="672"/>
      <c r="GAK31" s="672"/>
      <c r="GAL31" s="672"/>
      <c r="GAM31" s="672"/>
      <c r="GAN31" s="672"/>
      <c r="GAO31" s="672"/>
      <c r="GAP31" s="672"/>
      <c r="GAQ31" s="672"/>
      <c r="GAR31" s="672"/>
      <c r="GAS31" s="672"/>
      <c r="GAT31" s="672"/>
      <c r="GAU31" s="672"/>
      <c r="GAV31" s="672"/>
      <c r="GAW31" s="672"/>
      <c r="GAX31" s="672"/>
      <c r="GAY31" s="672"/>
      <c r="GAZ31" s="672"/>
      <c r="GBA31" s="672"/>
      <c r="GBB31" s="672"/>
      <c r="GBC31" s="672"/>
      <c r="GBD31" s="672"/>
      <c r="GBE31" s="672"/>
      <c r="GBF31" s="672"/>
      <c r="GBG31" s="672"/>
      <c r="GBH31" s="672"/>
      <c r="GBI31" s="672"/>
      <c r="GBJ31" s="672"/>
      <c r="GBK31" s="672"/>
      <c r="GBL31" s="672"/>
      <c r="GBM31" s="672"/>
      <c r="GBN31" s="672"/>
      <c r="GBO31" s="672"/>
      <c r="GBP31" s="672"/>
      <c r="GBQ31" s="672"/>
      <c r="GBR31" s="672"/>
      <c r="GBS31" s="672"/>
      <c r="GBT31" s="672"/>
      <c r="GBU31" s="672"/>
      <c r="GBV31" s="672"/>
      <c r="GBW31" s="672"/>
      <c r="GBX31" s="672"/>
      <c r="GBY31" s="672"/>
      <c r="GBZ31" s="672"/>
      <c r="GCA31" s="672"/>
      <c r="GCB31" s="672"/>
      <c r="GCC31" s="672"/>
      <c r="GCD31" s="672"/>
      <c r="GCE31" s="672"/>
      <c r="GCF31" s="672"/>
      <c r="GCG31" s="672"/>
      <c r="GCH31" s="672"/>
      <c r="GCI31" s="672"/>
      <c r="GCJ31" s="672"/>
      <c r="GCK31" s="672"/>
      <c r="GCL31" s="672"/>
      <c r="GCM31" s="672"/>
      <c r="GCN31" s="672"/>
      <c r="GCO31" s="672"/>
      <c r="GCP31" s="672"/>
      <c r="GCQ31" s="672"/>
      <c r="GCR31" s="672"/>
      <c r="GCS31" s="672"/>
      <c r="GCT31" s="672"/>
      <c r="GCU31" s="672"/>
      <c r="GCV31" s="672"/>
      <c r="GCW31" s="672"/>
      <c r="GCX31" s="672"/>
      <c r="GCY31" s="672"/>
      <c r="GCZ31" s="672"/>
      <c r="GDA31" s="672"/>
      <c r="GDB31" s="672"/>
      <c r="GDC31" s="672"/>
      <c r="GDD31" s="672"/>
      <c r="GDE31" s="672"/>
      <c r="GDF31" s="672"/>
      <c r="GDG31" s="672"/>
      <c r="GDH31" s="672"/>
      <c r="GDI31" s="672"/>
      <c r="GDJ31" s="672"/>
      <c r="GDK31" s="672"/>
      <c r="GDL31" s="672"/>
      <c r="GDM31" s="672"/>
      <c r="GDN31" s="672"/>
      <c r="GDO31" s="672"/>
      <c r="GDP31" s="672"/>
      <c r="GDQ31" s="672"/>
      <c r="GDR31" s="672"/>
      <c r="GDS31" s="672"/>
      <c r="GDT31" s="672"/>
      <c r="GDU31" s="672"/>
      <c r="GDV31" s="672"/>
      <c r="GDW31" s="672"/>
      <c r="GDX31" s="672"/>
      <c r="GDY31" s="672"/>
      <c r="GDZ31" s="672"/>
      <c r="GEA31" s="672"/>
      <c r="GEB31" s="672"/>
      <c r="GEC31" s="672"/>
      <c r="GED31" s="672"/>
      <c r="GEE31" s="672"/>
      <c r="GEF31" s="672"/>
      <c r="GEG31" s="672"/>
      <c r="GEH31" s="672"/>
      <c r="GEI31" s="672"/>
      <c r="GEJ31" s="672"/>
      <c r="GEK31" s="672"/>
      <c r="GEL31" s="672"/>
      <c r="GEM31" s="672"/>
      <c r="GEN31" s="672"/>
      <c r="GEO31" s="672"/>
      <c r="GEP31" s="672"/>
      <c r="GEQ31" s="672"/>
      <c r="GER31" s="672"/>
      <c r="GES31" s="672"/>
      <c r="GET31" s="672"/>
      <c r="GEU31" s="672"/>
      <c r="GEV31" s="672"/>
      <c r="GEW31" s="672"/>
      <c r="GEX31" s="672"/>
      <c r="GEY31" s="672"/>
      <c r="GEZ31" s="672"/>
      <c r="GFA31" s="672"/>
      <c r="GFB31" s="672"/>
      <c r="GFC31" s="672"/>
      <c r="GFD31" s="672"/>
      <c r="GFE31" s="672"/>
      <c r="GFF31" s="672"/>
      <c r="GFG31" s="672"/>
      <c r="GFH31" s="672"/>
      <c r="GFI31" s="672"/>
      <c r="GFJ31" s="672"/>
      <c r="GFK31" s="672"/>
      <c r="GFL31" s="672"/>
      <c r="GFM31" s="672"/>
      <c r="GFN31" s="672"/>
      <c r="GFO31" s="672"/>
      <c r="GFP31" s="672"/>
      <c r="GFQ31" s="672"/>
      <c r="GFR31" s="672"/>
      <c r="GFS31" s="672"/>
      <c r="GFT31" s="672"/>
      <c r="GFU31" s="672"/>
      <c r="GFV31" s="672"/>
      <c r="GFW31" s="672"/>
      <c r="GFX31" s="672"/>
      <c r="GFY31" s="672"/>
      <c r="GFZ31" s="672"/>
      <c r="GGA31" s="672"/>
      <c r="GGB31" s="672"/>
      <c r="GGC31" s="672"/>
      <c r="GGD31" s="672"/>
      <c r="GGE31" s="672"/>
      <c r="GGF31" s="672"/>
      <c r="GGG31" s="672"/>
      <c r="GGH31" s="672"/>
      <c r="GGI31" s="672"/>
      <c r="GGJ31" s="672"/>
      <c r="GGK31" s="672"/>
      <c r="GGL31" s="672"/>
      <c r="GGM31" s="672"/>
      <c r="GGN31" s="672"/>
      <c r="GGO31" s="672"/>
      <c r="GGP31" s="672"/>
      <c r="GGQ31" s="672"/>
      <c r="GGR31" s="672"/>
      <c r="GGS31" s="672"/>
      <c r="GGT31" s="672"/>
      <c r="GGU31" s="672"/>
      <c r="GGV31" s="672"/>
      <c r="GGW31" s="672"/>
      <c r="GGX31" s="672"/>
      <c r="GGY31" s="672"/>
      <c r="GGZ31" s="672"/>
      <c r="GHA31" s="672"/>
      <c r="GHB31" s="672"/>
      <c r="GHC31" s="672"/>
      <c r="GHD31" s="672"/>
      <c r="GHE31" s="672"/>
      <c r="GHF31" s="672"/>
      <c r="GHG31" s="672"/>
      <c r="GHH31" s="672"/>
      <c r="GHI31" s="672"/>
      <c r="GHJ31" s="672"/>
      <c r="GHK31" s="672"/>
      <c r="GHL31" s="672"/>
      <c r="GHM31" s="672"/>
      <c r="GHN31" s="672"/>
      <c r="GHO31" s="672"/>
      <c r="GHP31" s="672"/>
      <c r="GHQ31" s="672"/>
      <c r="GHR31" s="672"/>
      <c r="GHS31" s="672"/>
      <c r="GHT31" s="672"/>
      <c r="GHU31" s="672"/>
      <c r="GHV31" s="672"/>
      <c r="GHW31" s="672"/>
      <c r="GHX31" s="672"/>
      <c r="GHY31" s="672"/>
      <c r="GHZ31" s="672"/>
      <c r="GIA31" s="672"/>
      <c r="GIB31" s="672"/>
      <c r="GIC31" s="672"/>
      <c r="GID31" s="672"/>
      <c r="GIE31" s="672"/>
      <c r="GIF31" s="672"/>
      <c r="GIG31" s="672"/>
      <c r="GIH31" s="672"/>
      <c r="GII31" s="672"/>
      <c r="GIJ31" s="672"/>
      <c r="GIK31" s="672"/>
      <c r="GIL31" s="672"/>
      <c r="GIM31" s="672"/>
      <c r="GIN31" s="672"/>
      <c r="GIO31" s="672"/>
      <c r="GIP31" s="672"/>
      <c r="GIQ31" s="672"/>
      <c r="GIR31" s="672"/>
      <c r="GIS31" s="672"/>
      <c r="GIT31" s="672"/>
      <c r="GIU31" s="672"/>
      <c r="GIV31" s="672"/>
      <c r="GIW31" s="672"/>
      <c r="GIX31" s="672"/>
      <c r="GIY31" s="672"/>
      <c r="GIZ31" s="672"/>
      <c r="GJA31" s="672"/>
      <c r="GJB31" s="672"/>
      <c r="GJC31" s="672"/>
      <c r="GJD31" s="672"/>
      <c r="GJE31" s="672"/>
      <c r="GJF31" s="672"/>
      <c r="GJG31" s="672"/>
      <c r="GJH31" s="672"/>
      <c r="GJI31" s="672"/>
      <c r="GJJ31" s="672"/>
      <c r="GJK31" s="672"/>
      <c r="GJL31" s="672"/>
      <c r="GJM31" s="672"/>
      <c r="GJN31" s="672"/>
      <c r="GJO31" s="672"/>
      <c r="GJP31" s="672"/>
      <c r="GJQ31" s="672"/>
      <c r="GJR31" s="672"/>
      <c r="GJS31" s="672"/>
      <c r="GJT31" s="672"/>
      <c r="GJU31" s="672"/>
      <c r="GJV31" s="672"/>
      <c r="GJW31" s="672"/>
      <c r="GJX31" s="672"/>
      <c r="GJY31" s="672"/>
      <c r="GJZ31" s="672"/>
      <c r="GKA31" s="672"/>
      <c r="GKB31" s="672"/>
      <c r="GKC31" s="672"/>
      <c r="GKD31" s="672"/>
      <c r="GKE31" s="672"/>
      <c r="GKF31" s="672"/>
      <c r="GKG31" s="672"/>
      <c r="GKH31" s="672"/>
      <c r="GKI31" s="672"/>
      <c r="GKJ31" s="672"/>
      <c r="GKK31" s="672"/>
      <c r="GKL31" s="672"/>
      <c r="GKM31" s="672"/>
      <c r="GKN31" s="672"/>
      <c r="GKO31" s="672"/>
      <c r="GKP31" s="672"/>
      <c r="GKQ31" s="672"/>
      <c r="GKR31" s="672"/>
      <c r="GKS31" s="672"/>
      <c r="GKT31" s="672"/>
      <c r="GKU31" s="672"/>
      <c r="GKV31" s="672"/>
      <c r="GKW31" s="672"/>
      <c r="GKX31" s="672"/>
      <c r="GKY31" s="672"/>
      <c r="GKZ31" s="672"/>
      <c r="GLA31" s="672"/>
      <c r="GLB31" s="672"/>
      <c r="GLC31" s="672"/>
      <c r="GLD31" s="672"/>
      <c r="GLE31" s="672"/>
      <c r="GLF31" s="672"/>
      <c r="GLG31" s="672"/>
      <c r="GLH31" s="672"/>
      <c r="GLI31" s="672"/>
      <c r="GLJ31" s="672"/>
      <c r="GLK31" s="672"/>
      <c r="GLL31" s="672"/>
      <c r="GLM31" s="672"/>
      <c r="GLN31" s="672"/>
      <c r="GLO31" s="672"/>
      <c r="GLP31" s="672"/>
      <c r="GLQ31" s="672"/>
      <c r="GLR31" s="672"/>
      <c r="GLS31" s="672"/>
      <c r="GLT31" s="672"/>
      <c r="GLU31" s="672"/>
      <c r="GLV31" s="672"/>
      <c r="GLW31" s="672"/>
      <c r="GLX31" s="672"/>
      <c r="GLY31" s="672"/>
      <c r="GLZ31" s="672"/>
      <c r="GMA31" s="672"/>
      <c r="GMB31" s="672"/>
      <c r="GMC31" s="672"/>
      <c r="GMD31" s="672"/>
      <c r="GME31" s="672"/>
      <c r="GMF31" s="672"/>
      <c r="GMG31" s="672"/>
      <c r="GMH31" s="672"/>
      <c r="GMI31" s="672"/>
      <c r="GMJ31" s="672"/>
      <c r="GMK31" s="672"/>
      <c r="GML31" s="672"/>
      <c r="GMM31" s="672"/>
      <c r="GMN31" s="672"/>
      <c r="GMO31" s="672"/>
      <c r="GMP31" s="672"/>
      <c r="GMQ31" s="672"/>
      <c r="GMR31" s="672"/>
      <c r="GMS31" s="672"/>
      <c r="GMT31" s="672"/>
      <c r="GMU31" s="672"/>
      <c r="GMV31" s="672"/>
      <c r="GMW31" s="672"/>
      <c r="GMX31" s="672"/>
      <c r="GMY31" s="672"/>
      <c r="GMZ31" s="672"/>
      <c r="GNA31" s="672"/>
      <c r="GNB31" s="672"/>
      <c r="GNC31" s="672"/>
      <c r="GND31" s="672"/>
      <c r="GNE31" s="672"/>
      <c r="GNF31" s="672"/>
      <c r="GNG31" s="672"/>
      <c r="GNH31" s="672"/>
      <c r="GNI31" s="672"/>
      <c r="GNJ31" s="672"/>
      <c r="GNK31" s="672"/>
      <c r="GNL31" s="672"/>
      <c r="GNM31" s="672"/>
      <c r="GNN31" s="672"/>
      <c r="GNO31" s="672"/>
      <c r="GNP31" s="672"/>
      <c r="GNQ31" s="672"/>
      <c r="GNR31" s="672"/>
      <c r="GNS31" s="672"/>
      <c r="GNT31" s="672"/>
      <c r="GNU31" s="672"/>
      <c r="GNV31" s="672"/>
      <c r="GNW31" s="672"/>
      <c r="GNX31" s="672"/>
      <c r="GNY31" s="672"/>
      <c r="GNZ31" s="672"/>
      <c r="GOA31" s="672"/>
      <c r="GOB31" s="672"/>
      <c r="GOC31" s="672"/>
      <c r="GOD31" s="672"/>
      <c r="GOE31" s="672"/>
      <c r="GOF31" s="672"/>
      <c r="GOG31" s="672"/>
      <c r="GOH31" s="672"/>
      <c r="GOI31" s="672"/>
      <c r="GOJ31" s="672"/>
      <c r="GOK31" s="672"/>
      <c r="GOL31" s="672"/>
      <c r="GOM31" s="672"/>
      <c r="GON31" s="672"/>
      <c r="GOO31" s="672"/>
      <c r="GOP31" s="672"/>
      <c r="GOQ31" s="672"/>
      <c r="GOR31" s="672"/>
      <c r="GOS31" s="672"/>
      <c r="GOT31" s="672"/>
      <c r="GOU31" s="672"/>
      <c r="GOV31" s="672"/>
      <c r="GOW31" s="672"/>
      <c r="GOX31" s="672"/>
      <c r="GOY31" s="672"/>
      <c r="GOZ31" s="672"/>
      <c r="GPA31" s="672"/>
      <c r="GPB31" s="672"/>
      <c r="GPC31" s="672"/>
      <c r="GPD31" s="672"/>
      <c r="GPE31" s="672"/>
      <c r="GPF31" s="672"/>
      <c r="GPG31" s="672"/>
      <c r="GPH31" s="672"/>
      <c r="GPI31" s="672"/>
      <c r="GPJ31" s="672"/>
      <c r="GPK31" s="672"/>
      <c r="GPL31" s="672"/>
      <c r="GPM31" s="672"/>
      <c r="GPN31" s="672"/>
      <c r="GPO31" s="672"/>
      <c r="GPP31" s="672"/>
      <c r="GPQ31" s="672"/>
      <c r="GPR31" s="672"/>
      <c r="GPS31" s="672"/>
      <c r="GPT31" s="672"/>
      <c r="GPU31" s="672"/>
      <c r="GPV31" s="672"/>
      <c r="GPW31" s="672"/>
      <c r="GPX31" s="672"/>
      <c r="GPY31" s="672"/>
      <c r="GPZ31" s="672"/>
      <c r="GQA31" s="672"/>
      <c r="GQB31" s="672"/>
      <c r="GQC31" s="672"/>
      <c r="GQD31" s="672"/>
      <c r="GQE31" s="672"/>
      <c r="GQF31" s="672"/>
      <c r="GQG31" s="672"/>
      <c r="GQH31" s="672"/>
      <c r="GQI31" s="672"/>
      <c r="GQJ31" s="672"/>
      <c r="GQK31" s="672"/>
      <c r="GQL31" s="672"/>
      <c r="GQM31" s="672"/>
      <c r="GQN31" s="672"/>
      <c r="GQO31" s="672"/>
      <c r="GQP31" s="672"/>
      <c r="GQQ31" s="672"/>
      <c r="GQR31" s="672"/>
      <c r="GQS31" s="672"/>
      <c r="GQT31" s="672"/>
      <c r="GQU31" s="672"/>
      <c r="GQV31" s="672"/>
      <c r="GQW31" s="672"/>
      <c r="GQX31" s="672"/>
      <c r="GQY31" s="672"/>
      <c r="GQZ31" s="672"/>
      <c r="GRA31" s="672"/>
      <c r="GRB31" s="672"/>
      <c r="GRC31" s="672"/>
      <c r="GRD31" s="672"/>
      <c r="GRE31" s="672"/>
      <c r="GRF31" s="672"/>
      <c r="GRG31" s="672"/>
      <c r="GRH31" s="672"/>
      <c r="GRI31" s="672"/>
      <c r="GRJ31" s="672"/>
      <c r="GRK31" s="672"/>
      <c r="GRL31" s="672"/>
      <c r="GRM31" s="672"/>
      <c r="GRN31" s="672"/>
      <c r="GRO31" s="672"/>
      <c r="GRP31" s="672"/>
      <c r="GRQ31" s="672"/>
      <c r="GRR31" s="672"/>
      <c r="GRS31" s="672"/>
      <c r="GRT31" s="672"/>
      <c r="GRU31" s="672"/>
      <c r="GRV31" s="672"/>
      <c r="GRW31" s="672"/>
      <c r="GRX31" s="672"/>
      <c r="GRY31" s="672"/>
      <c r="GRZ31" s="672"/>
      <c r="GSA31" s="672"/>
      <c r="GSB31" s="672"/>
      <c r="GSC31" s="672"/>
      <c r="GSD31" s="672"/>
      <c r="GSE31" s="672"/>
      <c r="GSF31" s="672"/>
      <c r="GSG31" s="672"/>
      <c r="GSH31" s="672"/>
      <c r="GSI31" s="672"/>
      <c r="GSJ31" s="672"/>
      <c r="GSK31" s="672"/>
      <c r="GSL31" s="672"/>
      <c r="GSM31" s="672"/>
      <c r="GSN31" s="672"/>
      <c r="GSO31" s="672"/>
      <c r="GSP31" s="672"/>
      <c r="GSQ31" s="672"/>
      <c r="GSR31" s="672"/>
      <c r="GSS31" s="672"/>
      <c r="GST31" s="672"/>
      <c r="GSU31" s="672"/>
      <c r="GSV31" s="672"/>
      <c r="GSW31" s="672"/>
      <c r="GSX31" s="672"/>
      <c r="GSY31" s="672"/>
      <c r="GSZ31" s="672"/>
      <c r="GTA31" s="672"/>
      <c r="GTB31" s="672"/>
      <c r="GTC31" s="672"/>
      <c r="GTD31" s="672"/>
      <c r="GTE31" s="672"/>
      <c r="GTF31" s="672"/>
      <c r="GTG31" s="672"/>
      <c r="GTH31" s="672"/>
      <c r="GTI31" s="672"/>
      <c r="GTJ31" s="672"/>
      <c r="GTK31" s="672"/>
      <c r="GTL31" s="672"/>
      <c r="GTM31" s="672"/>
      <c r="GTN31" s="672"/>
      <c r="GTO31" s="672"/>
      <c r="GTP31" s="672"/>
      <c r="GTQ31" s="672"/>
      <c r="GTR31" s="672"/>
      <c r="GTS31" s="672"/>
      <c r="GTT31" s="672"/>
      <c r="GTU31" s="672"/>
      <c r="GTV31" s="672"/>
      <c r="GTW31" s="672"/>
      <c r="GTX31" s="672"/>
      <c r="GTY31" s="672"/>
      <c r="GTZ31" s="672"/>
      <c r="GUA31" s="672"/>
      <c r="GUB31" s="672"/>
      <c r="GUC31" s="672"/>
      <c r="GUD31" s="672"/>
      <c r="GUE31" s="672"/>
      <c r="GUF31" s="672"/>
      <c r="GUG31" s="672"/>
      <c r="GUH31" s="672"/>
      <c r="GUI31" s="672"/>
      <c r="GUJ31" s="672"/>
      <c r="GUK31" s="672"/>
      <c r="GUL31" s="672"/>
      <c r="GUM31" s="672"/>
      <c r="GUN31" s="672"/>
      <c r="GUO31" s="672"/>
      <c r="GUP31" s="672"/>
      <c r="GUQ31" s="672"/>
      <c r="GUR31" s="672"/>
      <c r="GUS31" s="672"/>
      <c r="GUT31" s="672"/>
      <c r="GUU31" s="672"/>
      <c r="GUV31" s="672"/>
      <c r="GUW31" s="672"/>
      <c r="GUX31" s="672"/>
      <c r="GUY31" s="672"/>
      <c r="GUZ31" s="672"/>
      <c r="GVA31" s="672"/>
      <c r="GVB31" s="672"/>
      <c r="GVC31" s="672"/>
      <c r="GVD31" s="672"/>
      <c r="GVE31" s="672"/>
      <c r="GVF31" s="672"/>
      <c r="GVG31" s="672"/>
      <c r="GVH31" s="672"/>
      <c r="GVI31" s="672"/>
      <c r="GVJ31" s="672"/>
      <c r="GVK31" s="672"/>
      <c r="GVL31" s="672"/>
      <c r="GVM31" s="672"/>
      <c r="GVN31" s="672"/>
      <c r="GVO31" s="672"/>
      <c r="GVP31" s="672"/>
      <c r="GVQ31" s="672"/>
      <c r="GVR31" s="672"/>
      <c r="GVS31" s="672"/>
      <c r="GVT31" s="672"/>
      <c r="GVU31" s="672"/>
      <c r="GVV31" s="672"/>
      <c r="GVW31" s="672"/>
      <c r="GVX31" s="672"/>
      <c r="GVY31" s="672"/>
      <c r="GVZ31" s="672"/>
      <c r="GWA31" s="672"/>
      <c r="GWB31" s="672"/>
      <c r="GWC31" s="672"/>
      <c r="GWD31" s="672"/>
      <c r="GWE31" s="672"/>
      <c r="GWF31" s="672"/>
      <c r="GWG31" s="672"/>
      <c r="GWH31" s="672"/>
      <c r="GWI31" s="672"/>
      <c r="GWJ31" s="672"/>
      <c r="GWK31" s="672"/>
      <c r="GWL31" s="672"/>
      <c r="GWM31" s="672"/>
      <c r="GWN31" s="672"/>
      <c r="GWO31" s="672"/>
      <c r="GWP31" s="672"/>
      <c r="GWQ31" s="672"/>
      <c r="GWR31" s="672"/>
      <c r="GWS31" s="672"/>
      <c r="GWT31" s="672"/>
      <c r="GWU31" s="672"/>
      <c r="GWV31" s="672"/>
      <c r="GWW31" s="672"/>
      <c r="GWX31" s="672"/>
      <c r="GWY31" s="672"/>
      <c r="GWZ31" s="672"/>
      <c r="GXA31" s="672"/>
      <c r="GXB31" s="672"/>
      <c r="GXC31" s="672"/>
      <c r="GXD31" s="672"/>
      <c r="GXE31" s="672"/>
      <c r="GXF31" s="672"/>
      <c r="GXG31" s="672"/>
      <c r="GXH31" s="672"/>
      <c r="GXI31" s="672"/>
      <c r="GXJ31" s="672"/>
      <c r="GXK31" s="672"/>
      <c r="GXL31" s="672"/>
      <c r="GXM31" s="672"/>
      <c r="GXN31" s="672"/>
      <c r="GXO31" s="672"/>
      <c r="GXP31" s="672"/>
      <c r="GXQ31" s="672"/>
      <c r="GXR31" s="672"/>
      <c r="GXS31" s="672"/>
      <c r="GXT31" s="672"/>
      <c r="GXU31" s="672"/>
      <c r="GXV31" s="672"/>
      <c r="GXW31" s="672"/>
      <c r="GXX31" s="672"/>
      <c r="GXY31" s="672"/>
      <c r="GXZ31" s="672"/>
      <c r="GYA31" s="672"/>
      <c r="GYB31" s="672"/>
      <c r="GYC31" s="672"/>
      <c r="GYD31" s="672"/>
      <c r="GYE31" s="672"/>
      <c r="GYF31" s="672"/>
      <c r="GYG31" s="672"/>
      <c r="GYH31" s="672"/>
      <c r="GYI31" s="672"/>
      <c r="GYJ31" s="672"/>
      <c r="GYK31" s="672"/>
      <c r="GYL31" s="672"/>
      <c r="GYM31" s="672"/>
      <c r="GYN31" s="672"/>
      <c r="GYO31" s="672"/>
      <c r="GYP31" s="672"/>
      <c r="GYQ31" s="672"/>
      <c r="GYR31" s="672"/>
      <c r="GYS31" s="672"/>
      <c r="GYT31" s="672"/>
      <c r="GYU31" s="672"/>
      <c r="GYV31" s="672"/>
      <c r="GYW31" s="672"/>
      <c r="GYX31" s="672"/>
      <c r="GYY31" s="672"/>
      <c r="GYZ31" s="672"/>
      <c r="GZA31" s="672"/>
      <c r="GZB31" s="672"/>
      <c r="GZC31" s="672"/>
      <c r="GZD31" s="672"/>
      <c r="GZE31" s="672"/>
      <c r="GZF31" s="672"/>
      <c r="GZG31" s="672"/>
      <c r="GZH31" s="672"/>
      <c r="GZI31" s="672"/>
      <c r="GZJ31" s="672"/>
      <c r="GZK31" s="672"/>
      <c r="GZL31" s="672"/>
      <c r="GZM31" s="672"/>
      <c r="GZN31" s="672"/>
      <c r="GZO31" s="672"/>
      <c r="GZP31" s="672"/>
      <c r="GZQ31" s="672"/>
      <c r="GZR31" s="672"/>
      <c r="GZS31" s="672"/>
      <c r="GZT31" s="672"/>
      <c r="GZU31" s="672"/>
      <c r="GZV31" s="672"/>
      <c r="GZW31" s="672"/>
      <c r="GZX31" s="672"/>
      <c r="GZY31" s="672"/>
      <c r="GZZ31" s="672"/>
      <c r="HAA31" s="672"/>
      <c r="HAB31" s="672"/>
      <c r="HAC31" s="672"/>
      <c r="HAD31" s="672"/>
      <c r="HAE31" s="672"/>
      <c r="HAF31" s="672"/>
      <c r="HAG31" s="672"/>
      <c r="HAH31" s="672"/>
      <c r="HAI31" s="672"/>
      <c r="HAJ31" s="672"/>
      <c r="HAK31" s="672"/>
      <c r="HAL31" s="672"/>
      <c r="HAM31" s="672"/>
      <c r="HAN31" s="672"/>
      <c r="HAO31" s="672"/>
      <c r="HAP31" s="672"/>
      <c r="HAQ31" s="672"/>
      <c r="HAR31" s="672"/>
      <c r="HAS31" s="672"/>
      <c r="HAT31" s="672"/>
      <c r="HAU31" s="672"/>
      <c r="HAV31" s="672"/>
      <c r="HAW31" s="672"/>
      <c r="HAX31" s="672"/>
      <c r="HAY31" s="672"/>
      <c r="HAZ31" s="672"/>
      <c r="HBA31" s="672"/>
      <c r="HBB31" s="672"/>
      <c r="HBC31" s="672"/>
      <c r="HBD31" s="672"/>
      <c r="HBE31" s="672"/>
      <c r="HBF31" s="672"/>
      <c r="HBG31" s="672"/>
      <c r="HBH31" s="672"/>
      <c r="HBI31" s="672"/>
      <c r="HBJ31" s="672"/>
      <c r="HBK31" s="672"/>
      <c r="HBL31" s="672"/>
      <c r="HBM31" s="672"/>
      <c r="HBN31" s="672"/>
      <c r="HBO31" s="672"/>
      <c r="HBP31" s="672"/>
      <c r="HBQ31" s="672"/>
      <c r="HBR31" s="672"/>
      <c r="HBS31" s="672"/>
      <c r="HBT31" s="672"/>
      <c r="HBU31" s="672"/>
      <c r="HBV31" s="672"/>
      <c r="HBW31" s="672"/>
      <c r="HBX31" s="672"/>
      <c r="HBY31" s="672"/>
      <c r="HBZ31" s="672"/>
      <c r="HCA31" s="672"/>
      <c r="HCB31" s="672"/>
      <c r="HCC31" s="672"/>
      <c r="HCD31" s="672"/>
      <c r="HCE31" s="672"/>
      <c r="HCF31" s="672"/>
      <c r="HCG31" s="672"/>
      <c r="HCH31" s="672"/>
      <c r="HCI31" s="672"/>
      <c r="HCJ31" s="672"/>
      <c r="HCK31" s="672"/>
      <c r="HCL31" s="672"/>
      <c r="HCM31" s="672"/>
      <c r="HCN31" s="672"/>
      <c r="HCO31" s="672"/>
      <c r="HCP31" s="672"/>
      <c r="HCQ31" s="672"/>
      <c r="HCR31" s="672"/>
      <c r="HCS31" s="672"/>
      <c r="HCT31" s="672"/>
      <c r="HCU31" s="672"/>
      <c r="HCV31" s="672"/>
      <c r="HCW31" s="672"/>
      <c r="HCX31" s="672"/>
      <c r="HCY31" s="672"/>
      <c r="HCZ31" s="672"/>
      <c r="HDA31" s="672"/>
      <c r="HDB31" s="672"/>
      <c r="HDC31" s="672"/>
      <c r="HDD31" s="672"/>
      <c r="HDE31" s="672"/>
      <c r="HDF31" s="672"/>
      <c r="HDG31" s="672"/>
      <c r="HDH31" s="672"/>
      <c r="HDI31" s="672"/>
      <c r="HDJ31" s="672"/>
      <c r="HDK31" s="672"/>
      <c r="HDL31" s="672"/>
      <c r="HDM31" s="672"/>
      <c r="HDN31" s="672"/>
      <c r="HDO31" s="672"/>
      <c r="HDP31" s="672"/>
      <c r="HDQ31" s="672"/>
      <c r="HDR31" s="672"/>
      <c r="HDS31" s="672"/>
      <c r="HDT31" s="672"/>
      <c r="HDU31" s="672"/>
      <c r="HDV31" s="672"/>
      <c r="HDW31" s="672"/>
      <c r="HDX31" s="672"/>
      <c r="HDY31" s="672"/>
      <c r="HDZ31" s="672"/>
      <c r="HEA31" s="672"/>
      <c r="HEB31" s="672"/>
      <c r="HEC31" s="672"/>
      <c r="HED31" s="672"/>
      <c r="HEE31" s="672"/>
      <c r="HEF31" s="672"/>
      <c r="HEG31" s="672"/>
      <c r="HEH31" s="672"/>
      <c r="HEI31" s="672"/>
      <c r="HEJ31" s="672"/>
      <c r="HEK31" s="672"/>
      <c r="HEL31" s="672"/>
      <c r="HEM31" s="672"/>
      <c r="HEN31" s="672"/>
      <c r="HEO31" s="672"/>
      <c r="HEP31" s="672"/>
      <c r="HEQ31" s="672"/>
      <c r="HER31" s="672"/>
      <c r="HES31" s="672"/>
      <c r="HET31" s="672"/>
      <c r="HEU31" s="672"/>
      <c r="HEV31" s="672"/>
      <c r="HEW31" s="672"/>
      <c r="HEX31" s="672"/>
      <c r="HEY31" s="672"/>
      <c r="HEZ31" s="672"/>
      <c r="HFA31" s="672"/>
      <c r="HFB31" s="672"/>
      <c r="HFC31" s="672"/>
      <c r="HFD31" s="672"/>
      <c r="HFE31" s="672"/>
      <c r="HFF31" s="672"/>
      <c r="HFG31" s="672"/>
      <c r="HFH31" s="672"/>
      <c r="HFI31" s="672"/>
      <c r="HFJ31" s="672"/>
      <c r="HFK31" s="672"/>
      <c r="HFL31" s="672"/>
      <c r="HFM31" s="672"/>
      <c r="HFN31" s="672"/>
      <c r="HFO31" s="672"/>
      <c r="HFP31" s="672"/>
      <c r="HFQ31" s="672"/>
      <c r="HFR31" s="672"/>
      <c r="HFS31" s="672"/>
      <c r="HFT31" s="672"/>
      <c r="HFU31" s="672"/>
      <c r="HFV31" s="672"/>
      <c r="HFW31" s="672"/>
      <c r="HFX31" s="672"/>
      <c r="HFY31" s="672"/>
      <c r="HFZ31" s="672"/>
      <c r="HGA31" s="672"/>
      <c r="HGB31" s="672"/>
      <c r="HGC31" s="672"/>
      <c r="HGD31" s="672"/>
      <c r="HGE31" s="672"/>
      <c r="HGF31" s="672"/>
      <c r="HGG31" s="672"/>
      <c r="HGH31" s="672"/>
      <c r="HGI31" s="672"/>
      <c r="HGJ31" s="672"/>
      <c r="HGK31" s="672"/>
      <c r="HGL31" s="672"/>
      <c r="HGM31" s="672"/>
      <c r="HGN31" s="672"/>
      <c r="HGO31" s="672"/>
      <c r="HGP31" s="672"/>
      <c r="HGQ31" s="672"/>
      <c r="HGR31" s="672"/>
      <c r="HGS31" s="672"/>
      <c r="HGT31" s="672"/>
      <c r="HGU31" s="672"/>
      <c r="HGV31" s="672"/>
      <c r="HGW31" s="672"/>
      <c r="HGX31" s="672"/>
      <c r="HGY31" s="672"/>
      <c r="HGZ31" s="672"/>
      <c r="HHA31" s="672"/>
      <c r="HHB31" s="672"/>
      <c r="HHC31" s="672"/>
      <c r="HHD31" s="672"/>
      <c r="HHE31" s="672"/>
      <c r="HHF31" s="672"/>
      <c r="HHG31" s="672"/>
      <c r="HHH31" s="672"/>
      <c r="HHI31" s="672"/>
      <c r="HHJ31" s="672"/>
      <c r="HHK31" s="672"/>
      <c r="HHL31" s="672"/>
      <c r="HHM31" s="672"/>
      <c r="HHN31" s="672"/>
      <c r="HHO31" s="672"/>
      <c r="HHP31" s="672"/>
      <c r="HHQ31" s="672"/>
      <c r="HHR31" s="672"/>
      <c r="HHS31" s="672"/>
      <c r="HHT31" s="672"/>
      <c r="HHU31" s="672"/>
      <c r="HHV31" s="672"/>
      <c r="HHW31" s="672"/>
      <c r="HHX31" s="672"/>
      <c r="HHY31" s="672"/>
      <c r="HHZ31" s="672"/>
      <c r="HIA31" s="672"/>
      <c r="HIB31" s="672"/>
      <c r="HIC31" s="672"/>
      <c r="HID31" s="672"/>
      <c r="HIE31" s="672"/>
      <c r="HIF31" s="672"/>
      <c r="HIG31" s="672"/>
      <c r="HIH31" s="672"/>
      <c r="HII31" s="672"/>
      <c r="HIJ31" s="672"/>
      <c r="HIK31" s="672"/>
      <c r="HIL31" s="672"/>
      <c r="HIM31" s="672"/>
      <c r="HIN31" s="672"/>
      <c r="HIO31" s="672"/>
      <c r="HIP31" s="672"/>
      <c r="HIQ31" s="672"/>
      <c r="HIR31" s="672"/>
      <c r="HIS31" s="672"/>
      <c r="HIT31" s="672"/>
      <c r="HIU31" s="672"/>
      <c r="HIV31" s="672"/>
      <c r="HIW31" s="672"/>
      <c r="HIX31" s="672"/>
      <c r="HIY31" s="672"/>
      <c r="HIZ31" s="672"/>
      <c r="HJA31" s="672"/>
      <c r="HJB31" s="672"/>
      <c r="HJC31" s="672"/>
      <c r="HJD31" s="672"/>
      <c r="HJE31" s="672"/>
      <c r="HJF31" s="672"/>
      <c r="HJG31" s="672"/>
      <c r="HJH31" s="672"/>
      <c r="HJI31" s="672"/>
      <c r="HJJ31" s="672"/>
      <c r="HJK31" s="672"/>
      <c r="HJL31" s="672"/>
      <c r="HJM31" s="672"/>
      <c r="HJN31" s="672"/>
      <c r="HJO31" s="672"/>
      <c r="HJP31" s="672"/>
      <c r="HJQ31" s="672"/>
      <c r="HJR31" s="672"/>
      <c r="HJS31" s="672"/>
      <c r="HJT31" s="672"/>
      <c r="HJU31" s="672"/>
      <c r="HJV31" s="672"/>
      <c r="HJW31" s="672"/>
      <c r="HJX31" s="672"/>
      <c r="HJY31" s="672"/>
      <c r="HJZ31" s="672"/>
      <c r="HKA31" s="672"/>
      <c r="HKB31" s="672"/>
      <c r="HKC31" s="672"/>
      <c r="HKD31" s="672"/>
      <c r="HKE31" s="672"/>
      <c r="HKF31" s="672"/>
      <c r="HKG31" s="672"/>
      <c r="HKH31" s="672"/>
      <c r="HKI31" s="672"/>
      <c r="HKJ31" s="672"/>
      <c r="HKK31" s="672"/>
      <c r="HKL31" s="672"/>
      <c r="HKM31" s="672"/>
      <c r="HKN31" s="672"/>
      <c r="HKO31" s="672"/>
      <c r="HKP31" s="672"/>
      <c r="HKQ31" s="672"/>
      <c r="HKR31" s="672"/>
      <c r="HKS31" s="672"/>
      <c r="HKT31" s="672"/>
      <c r="HKU31" s="672"/>
      <c r="HKV31" s="672"/>
      <c r="HKW31" s="672"/>
      <c r="HKX31" s="672"/>
      <c r="HKY31" s="672"/>
      <c r="HKZ31" s="672"/>
      <c r="HLA31" s="672"/>
      <c r="HLB31" s="672"/>
      <c r="HLC31" s="672"/>
      <c r="HLD31" s="672"/>
      <c r="HLE31" s="672"/>
      <c r="HLF31" s="672"/>
      <c r="HLG31" s="672"/>
      <c r="HLH31" s="672"/>
      <c r="HLI31" s="672"/>
      <c r="HLJ31" s="672"/>
      <c r="HLK31" s="672"/>
      <c r="HLL31" s="672"/>
      <c r="HLM31" s="672"/>
      <c r="HLN31" s="672"/>
      <c r="HLO31" s="672"/>
      <c r="HLP31" s="672"/>
      <c r="HLQ31" s="672"/>
      <c r="HLR31" s="672"/>
      <c r="HLS31" s="672"/>
      <c r="HLT31" s="672"/>
      <c r="HLU31" s="672"/>
      <c r="HLV31" s="672"/>
      <c r="HLW31" s="672"/>
      <c r="HLX31" s="672"/>
      <c r="HLY31" s="672"/>
      <c r="HLZ31" s="672"/>
      <c r="HMA31" s="672"/>
      <c r="HMB31" s="672"/>
      <c r="HMC31" s="672"/>
      <c r="HMD31" s="672"/>
      <c r="HME31" s="672"/>
      <c r="HMF31" s="672"/>
      <c r="HMG31" s="672"/>
      <c r="HMH31" s="672"/>
      <c r="HMI31" s="672"/>
      <c r="HMJ31" s="672"/>
      <c r="HMK31" s="672"/>
      <c r="HML31" s="672"/>
      <c r="HMM31" s="672"/>
      <c r="HMN31" s="672"/>
      <c r="HMO31" s="672"/>
      <c r="HMP31" s="672"/>
      <c r="HMQ31" s="672"/>
      <c r="HMR31" s="672"/>
      <c r="HMS31" s="672"/>
      <c r="HMT31" s="672"/>
      <c r="HMU31" s="672"/>
      <c r="HMV31" s="672"/>
      <c r="HMW31" s="672"/>
      <c r="HMX31" s="672"/>
      <c r="HMY31" s="672"/>
      <c r="HMZ31" s="672"/>
      <c r="HNA31" s="672"/>
      <c r="HNB31" s="672"/>
      <c r="HNC31" s="672"/>
      <c r="HND31" s="672"/>
      <c r="HNE31" s="672"/>
      <c r="HNF31" s="672"/>
      <c r="HNG31" s="672"/>
      <c r="HNH31" s="672"/>
      <c r="HNI31" s="672"/>
      <c r="HNJ31" s="672"/>
      <c r="HNK31" s="672"/>
      <c r="HNL31" s="672"/>
      <c r="HNM31" s="672"/>
      <c r="HNN31" s="672"/>
      <c r="HNO31" s="672"/>
      <c r="HNP31" s="672"/>
      <c r="HNQ31" s="672"/>
      <c r="HNR31" s="672"/>
      <c r="HNS31" s="672"/>
      <c r="HNT31" s="672"/>
      <c r="HNU31" s="672"/>
      <c r="HNV31" s="672"/>
      <c r="HNW31" s="672"/>
      <c r="HNX31" s="672"/>
      <c r="HNY31" s="672"/>
      <c r="HNZ31" s="672"/>
      <c r="HOA31" s="672"/>
      <c r="HOB31" s="672"/>
      <c r="HOC31" s="672"/>
      <c r="HOD31" s="672"/>
      <c r="HOE31" s="672"/>
      <c r="HOF31" s="672"/>
      <c r="HOG31" s="672"/>
      <c r="HOH31" s="672"/>
      <c r="HOI31" s="672"/>
      <c r="HOJ31" s="672"/>
      <c r="HOK31" s="672"/>
      <c r="HOL31" s="672"/>
      <c r="HOM31" s="672"/>
      <c r="HON31" s="672"/>
      <c r="HOO31" s="672"/>
      <c r="HOP31" s="672"/>
      <c r="HOQ31" s="672"/>
      <c r="HOR31" s="672"/>
      <c r="HOS31" s="672"/>
      <c r="HOT31" s="672"/>
      <c r="HOU31" s="672"/>
      <c r="HOV31" s="672"/>
      <c r="HOW31" s="672"/>
      <c r="HOX31" s="672"/>
      <c r="HOY31" s="672"/>
      <c r="HOZ31" s="672"/>
      <c r="HPA31" s="672"/>
      <c r="HPB31" s="672"/>
      <c r="HPC31" s="672"/>
      <c r="HPD31" s="672"/>
      <c r="HPE31" s="672"/>
      <c r="HPF31" s="672"/>
      <c r="HPG31" s="672"/>
      <c r="HPH31" s="672"/>
      <c r="HPI31" s="672"/>
      <c r="HPJ31" s="672"/>
      <c r="HPK31" s="672"/>
      <c r="HPL31" s="672"/>
      <c r="HPM31" s="672"/>
      <c r="HPN31" s="672"/>
      <c r="HPO31" s="672"/>
      <c r="HPP31" s="672"/>
      <c r="HPQ31" s="672"/>
      <c r="HPR31" s="672"/>
      <c r="HPS31" s="672"/>
      <c r="HPT31" s="672"/>
      <c r="HPU31" s="672"/>
      <c r="HPV31" s="672"/>
      <c r="HPW31" s="672"/>
      <c r="HPX31" s="672"/>
      <c r="HPY31" s="672"/>
      <c r="HPZ31" s="672"/>
      <c r="HQA31" s="672"/>
      <c r="HQB31" s="672"/>
      <c r="HQC31" s="672"/>
      <c r="HQD31" s="672"/>
      <c r="HQE31" s="672"/>
      <c r="HQF31" s="672"/>
      <c r="HQG31" s="672"/>
      <c r="HQH31" s="672"/>
      <c r="HQI31" s="672"/>
      <c r="HQJ31" s="672"/>
      <c r="HQK31" s="672"/>
      <c r="HQL31" s="672"/>
      <c r="HQM31" s="672"/>
      <c r="HQN31" s="672"/>
      <c r="HQO31" s="672"/>
      <c r="HQP31" s="672"/>
      <c r="HQQ31" s="672"/>
      <c r="HQR31" s="672"/>
      <c r="HQS31" s="672"/>
      <c r="HQT31" s="672"/>
      <c r="HQU31" s="672"/>
      <c r="HQV31" s="672"/>
      <c r="HQW31" s="672"/>
      <c r="HQX31" s="672"/>
      <c r="HQY31" s="672"/>
      <c r="HQZ31" s="672"/>
      <c r="HRA31" s="672"/>
      <c r="HRB31" s="672"/>
      <c r="HRC31" s="672"/>
      <c r="HRD31" s="672"/>
      <c r="HRE31" s="672"/>
      <c r="HRF31" s="672"/>
      <c r="HRG31" s="672"/>
      <c r="HRH31" s="672"/>
      <c r="HRI31" s="672"/>
      <c r="HRJ31" s="672"/>
      <c r="HRK31" s="672"/>
      <c r="HRL31" s="672"/>
      <c r="HRM31" s="672"/>
      <c r="HRN31" s="672"/>
      <c r="HRO31" s="672"/>
      <c r="HRP31" s="672"/>
      <c r="HRQ31" s="672"/>
      <c r="HRR31" s="672"/>
      <c r="HRS31" s="672"/>
      <c r="HRT31" s="672"/>
      <c r="HRU31" s="672"/>
      <c r="HRV31" s="672"/>
      <c r="HRW31" s="672"/>
      <c r="HRX31" s="672"/>
      <c r="HRY31" s="672"/>
      <c r="HRZ31" s="672"/>
      <c r="HSA31" s="672"/>
      <c r="HSB31" s="672"/>
      <c r="HSC31" s="672"/>
      <c r="HSD31" s="672"/>
      <c r="HSE31" s="672"/>
      <c r="HSF31" s="672"/>
      <c r="HSG31" s="672"/>
      <c r="HSH31" s="672"/>
      <c r="HSI31" s="672"/>
      <c r="HSJ31" s="672"/>
      <c r="HSK31" s="672"/>
      <c r="HSL31" s="672"/>
      <c r="HSM31" s="672"/>
      <c r="HSN31" s="672"/>
      <c r="HSO31" s="672"/>
      <c r="HSP31" s="672"/>
      <c r="HSQ31" s="672"/>
      <c r="HSR31" s="672"/>
      <c r="HSS31" s="672"/>
      <c r="HST31" s="672"/>
      <c r="HSU31" s="672"/>
      <c r="HSV31" s="672"/>
      <c r="HSW31" s="672"/>
      <c r="HSX31" s="672"/>
      <c r="HSY31" s="672"/>
      <c r="HSZ31" s="672"/>
      <c r="HTA31" s="672"/>
      <c r="HTB31" s="672"/>
      <c r="HTC31" s="672"/>
      <c r="HTD31" s="672"/>
      <c r="HTE31" s="672"/>
      <c r="HTF31" s="672"/>
      <c r="HTG31" s="672"/>
      <c r="HTH31" s="672"/>
      <c r="HTI31" s="672"/>
      <c r="HTJ31" s="672"/>
      <c r="HTK31" s="672"/>
      <c r="HTL31" s="672"/>
      <c r="HTM31" s="672"/>
      <c r="HTN31" s="672"/>
      <c r="HTO31" s="672"/>
      <c r="HTP31" s="672"/>
      <c r="HTQ31" s="672"/>
      <c r="HTR31" s="672"/>
      <c r="HTS31" s="672"/>
      <c r="HTT31" s="672"/>
      <c r="HTU31" s="672"/>
      <c r="HTV31" s="672"/>
      <c r="HTW31" s="672"/>
      <c r="HTX31" s="672"/>
      <c r="HTY31" s="672"/>
      <c r="HTZ31" s="672"/>
      <c r="HUA31" s="672"/>
      <c r="HUB31" s="672"/>
      <c r="HUC31" s="672"/>
      <c r="HUD31" s="672"/>
      <c r="HUE31" s="672"/>
      <c r="HUF31" s="672"/>
      <c r="HUG31" s="672"/>
      <c r="HUH31" s="672"/>
      <c r="HUI31" s="672"/>
      <c r="HUJ31" s="672"/>
      <c r="HUK31" s="672"/>
      <c r="HUL31" s="672"/>
      <c r="HUM31" s="672"/>
      <c r="HUN31" s="672"/>
      <c r="HUO31" s="672"/>
      <c r="HUP31" s="672"/>
      <c r="HUQ31" s="672"/>
      <c r="HUR31" s="672"/>
      <c r="HUS31" s="672"/>
      <c r="HUT31" s="672"/>
      <c r="HUU31" s="672"/>
      <c r="HUV31" s="672"/>
      <c r="HUW31" s="672"/>
      <c r="HUX31" s="672"/>
      <c r="HUY31" s="672"/>
      <c r="HUZ31" s="672"/>
      <c r="HVA31" s="672"/>
      <c r="HVB31" s="672"/>
      <c r="HVC31" s="672"/>
      <c r="HVD31" s="672"/>
      <c r="HVE31" s="672"/>
      <c r="HVF31" s="672"/>
      <c r="HVG31" s="672"/>
      <c r="HVH31" s="672"/>
      <c r="HVI31" s="672"/>
      <c r="HVJ31" s="672"/>
      <c r="HVK31" s="672"/>
      <c r="HVL31" s="672"/>
      <c r="HVM31" s="672"/>
      <c r="HVN31" s="672"/>
      <c r="HVO31" s="672"/>
      <c r="HVP31" s="672"/>
      <c r="HVQ31" s="672"/>
      <c r="HVR31" s="672"/>
      <c r="HVS31" s="672"/>
      <c r="HVT31" s="672"/>
      <c r="HVU31" s="672"/>
      <c r="HVV31" s="672"/>
      <c r="HVW31" s="672"/>
      <c r="HVX31" s="672"/>
      <c r="HVY31" s="672"/>
      <c r="HVZ31" s="672"/>
      <c r="HWA31" s="672"/>
      <c r="HWB31" s="672"/>
      <c r="HWC31" s="672"/>
      <c r="HWD31" s="672"/>
      <c r="HWE31" s="672"/>
      <c r="HWF31" s="672"/>
      <c r="HWG31" s="672"/>
      <c r="HWH31" s="672"/>
      <c r="HWI31" s="672"/>
      <c r="HWJ31" s="672"/>
      <c r="HWK31" s="672"/>
      <c r="HWL31" s="672"/>
      <c r="HWM31" s="672"/>
      <c r="HWN31" s="672"/>
      <c r="HWO31" s="672"/>
      <c r="HWP31" s="672"/>
      <c r="HWQ31" s="672"/>
      <c r="HWR31" s="672"/>
      <c r="HWS31" s="672"/>
      <c r="HWT31" s="672"/>
      <c r="HWU31" s="672"/>
      <c r="HWV31" s="672"/>
      <c r="HWW31" s="672"/>
      <c r="HWX31" s="672"/>
      <c r="HWY31" s="672"/>
      <c r="HWZ31" s="672"/>
      <c r="HXA31" s="672"/>
      <c r="HXB31" s="672"/>
      <c r="HXC31" s="672"/>
      <c r="HXD31" s="672"/>
      <c r="HXE31" s="672"/>
      <c r="HXF31" s="672"/>
      <c r="HXG31" s="672"/>
      <c r="HXH31" s="672"/>
      <c r="HXI31" s="672"/>
      <c r="HXJ31" s="672"/>
      <c r="HXK31" s="672"/>
      <c r="HXL31" s="672"/>
      <c r="HXM31" s="672"/>
      <c r="HXN31" s="672"/>
      <c r="HXO31" s="672"/>
      <c r="HXP31" s="672"/>
      <c r="HXQ31" s="672"/>
      <c r="HXR31" s="672"/>
      <c r="HXS31" s="672"/>
      <c r="HXT31" s="672"/>
      <c r="HXU31" s="672"/>
      <c r="HXV31" s="672"/>
      <c r="HXW31" s="672"/>
      <c r="HXX31" s="672"/>
      <c r="HXY31" s="672"/>
      <c r="HXZ31" s="672"/>
      <c r="HYA31" s="672"/>
      <c r="HYB31" s="672"/>
      <c r="HYC31" s="672"/>
      <c r="HYD31" s="672"/>
      <c r="HYE31" s="672"/>
      <c r="HYF31" s="672"/>
      <c r="HYG31" s="672"/>
      <c r="HYH31" s="672"/>
      <c r="HYI31" s="672"/>
      <c r="HYJ31" s="672"/>
      <c r="HYK31" s="672"/>
      <c r="HYL31" s="672"/>
      <c r="HYM31" s="672"/>
      <c r="HYN31" s="672"/>
      <c r="HYO31" s="672"/>
      <c r="HYP31" s="672"/>
      <c r="HYQ31" s="672"/>
      <c r="HYR31" s="672"/>
      <c r="HYS31" s="672"/>
      <c r="HYT31" s="672"/>
      <c r="HYU31" s="672"/>
      <c r="HYV31" s="672"/>
      <c r="HYW31" s="672"/>
      <c r="HYX31" s="672"/>
      <c r="HYY31" s="672"/>
      <c r="HYZ31" s="672"/>
      <c r="HZA31" s="672"/>
      <c r="HZB31" s="672"/>
      <c r="HZC31" s="672"/>
      <c r="HZD31" s="672"/>
      <c r="HZE31" s="672"/>
      <c r="HZF31" s="672"/>
      <c r="HZG31" s="672"/>
      <c r="HZH31" s="672"/>
      <c r="HZI31" s="672"/>
      <c r="HZJ31" s="672"/>
      <c r="HZK31" s="672"/>
      <c r="HZL31" s="672"/>
      <c r="HZM31" s="672"/>
      <c r="HZN31" s="672"/>
      <c r="HZO31" s="672"/>
      <c r="HZP31" s="672"/>
      <c r="HZQ31" s="672"/>
      <c r="HZR31" s="672"/>
      <c r="HZS31" s="672"/>
      <c r="HZT31" s="672"/>
      <c r="HZU31" s="672"/>
      <c r="HZV31" s="672"/>
      <c r="HZW31" s="672"/>
      <c r="HZX31" s="672"/>
      <c r="HZY31" s="672"/>
      <c r="HZZ31" s="672"/>
      <c r="IAA31" s="672"/>
      <c r="IAB31" s="672"/>
      <c r="IAC31" s="672"/>
      <c r="IAD31" s="672"/>
      <c r="IAE31" s="672"/>
      <c r="IAF31" s="672"/>
      <c r="IAG31" s="672"/>
      <c r="IAH31" s="672"/>
      <c r="IAI31" s="672"/>
      <c r="IAJ31" s="672"/>
      <c r="IAK31" s="672"/>
      <c r="IAL31" s="672"/>
      <c r="IAM31" s="672"/>
      <c r="IAN31" s="672"/>
      <c r="IAO31" s="672"/>
      <c r="IAP31" s="672"/>
      <c r="IAQ31" s="672"/>
      <c r="IAR31" s="672"/>
      <c r="IAS31" s="672"/>
      <c r="IAT31" s="672"/>
      <c r="IAU31" s="672"/>
      <c r="IAV31" s="672"/>
      <c r="IAW31" s="672"/>
      <c r="IAX31" s="672"/>
      <c r="IAY31" s="672"/>
      <c r="IAZ31" s="672"/>
      <c r="IBA31" s="672"/>
      <c r="IBB31" s="672"/>
      <c r="IBC31" s="672"/>
      <c r="IBD31" s="672"/>
      <c r="IBE31" s="672"/>
      <c r="IBF31" s="672"/>
      <c r="IBG31" s="672"/>
      <c r="IBH31" s="672"/>
      <c r="IBI31" s="672"/>
      <c r="IBJ31" s="672"/>
      <c r="IBK31" s="672"/>
      <c r="IBL31" s="672"/>
      <c r="IBM31" s="672"/>
      <c r="IBN31" s="672"/>
      <c r="IBO31" s="672"/>
      <c r="IBP31" s="672"/>
      <c r="IBQ31" s="672"/>
      <c r="IBR31" s="672"/>
      <c r="IBS31" s="672"/>
      <c r="IBT31" s="672"/>
      <c r="IBU31" s="672"/>
      <c r="IBV31" s="672"/>
      <c r="IBW31" s="672"/>
      <c r="IBX31" s="672"/>
      <c r="IBY31" s="672"/>
      <c r="IBZ31" s="672"/>
      <c r="ICA31" s="672"/>
      <c r="ICB31" s="672"/>
      <c r="ICC31" s="672"/>
      <c r="ICD31" s="672"/>
      <c r="ICE31" s="672"/>
      <c r="ICF31" s="672"/>
      <c r="ICG31" s="672"/>
      <c r="ICH31" s="672"/>
      <c r="ICI31" s="672"/>
      <c r="ICJ31" s="672"/>
      <c r="ICK31" s="672"/>
      <c r="ICL31" s="672"/>
      <c r="ICM31" s="672"/>
      <c r="ICN31" s="672"/>
      <c r="ICO31" s="672"/>
      <c r="ICP31" s="672"/>
      <c r="ICQ31" s="672"/>
      <c r="ICR31" s="672"/>
      <c r="ICS31" s="672"/>
      <c r="ICT31" s="672"/>
      <c r="ICU31" s="672"/>
      <c r="ICV31" s="672"/>
      <c r="ICW31" s="672"/>
      <c r="ICX31" s="672"/>
      <c r="ICY31" s="672"/>
      <c r="ICZ31" s="672"/>
      <c r="IDA31" s="672"/>
      <c r="IDB31" s="672"/>
      <c r="IDC31" s="672"/>
      <c r="IDD31" s="672"/>
      <c r="IDE31" s="672"/>
      <c r="IDF31" s="672"/>
      <c r="IDG31" s="672"/>
      <c r="IDH31" s="672"/>
      <c r="IDI31" s="672"/>
      <c r="IDJ31" s="672"/>
      <c r="IDK31" s="672"/>
      <c r="IDL31" s="672"/>
      <c r="IDM31" s="672"/>
      <c r="IDN31" s="672"/>
      <c r="IDO31" s="672"/>
      <c r="IDP31" s="672"/>
      <c r="IDQ31" s="672"/>
      <c r="IDR31" s="672"/>
      <c r="IDS31" s="672"/>
      <c r="IDT31" s="672"/>
      <c r="IDU31" s="672"/>
      <c r="IDV31" s="672"/>
      <c r="IDW31" s="672"/>
      <c r="IDX31" s="672"/>
      <c r="IDY31" s="672"/>
      <c r="IDZ31" s="672"/>
      <c r="IEA31" s="672"/>
      <c r="IEB31" s="672"/>
      <c r="IEC31" s="672"/>
      <c r="IED31" s="672"/>
      <c r="IEE31" s="672"/>
      <c r="IEF31" s="672"/>
      <c r="IEG31" s="672"/>
      <c r="IEH31" s="672"/>
      <c r="IEI31" s="672"/>
      <c r="IEJ31" s="672"/>
      <c r="IEK31" s="672"/>
      <c r="IEL31" s="672"/>
      <c r="IEM31" s="672"/>
      <c r="IEN31" s="672"/>
      <c r="IEO31" s="672"/>
      <c r="IEP31" s="672"/>
      <c r="IEQ31" s="672"/>
      <c r="IER31" s="672"/>
      <c r="IES31" s="672"/>
      <c r="IET31" s="672"/>
      <c r="IEU31" s="672"/>
      <c r="IEV31" s="672"/>
      <c r="IEW31" s="672"/>
      <c r="IEX31" s="672"/>
      <c r="IEY31" s="672"/>
      <c r="IEZ31" s="672"/>
      <c r="IFA31" s="672"/>
      <c r="IFB31" s="672"/>
      <c r="IFC31" s="672"/>
      <c r="IFD31" s="672"/>
      <c r="IFE31" s="672"/>
      <c r="IFF31" s="672"/>
      <c r="IFG31" s="672"/>
      <c r="IFH31" s="672"/>
      <c r="IFI31" s="672"/>
      <c r="IFJ31" s="672"/>
      <c r="IFK31" s="672"/>
      <c r="IFL31" s="672"/>
      <c r="IFM31" s="672"/>
      <c r="IFN31" s="672"/>
      <c r="IFO31" s="672"/>
      <c r="IFP31" s="672"/>
      <c r="IFQ31" s="672"/>
      <c r="IFR31" s="672"/>
      <c r="IFS31" s="672"/>
      <c r="IFT31" s="672"/>
      <c r="IFU31" s="672"/>
      <c r="IFV31" s="672"/>
      <c r="IFW31" s="672"/>
      <c r="IFX31" s="672"/>
      <c r="IFY31" s="672"/>
      <c r="IFZ31" s="672"/>
      <c r="IGA31" s="672"/>
      <c r="IGB31" s="672"/>
      <c r="IGC31" s="672"/>
      <c r="IGD31" s="672"/>
      <c r="IGE31" s="672"/>
      <c r="IGF31" s="672"/>
      <c r="IGG31" s="672"/>
      <c r="IGH31" s="672"/>
      <c r="IGI31" s="672"/>
      <c r="IGJ31" s="672"/>
      <c r="IGK31" s="672"/>
      <c r="IGL31" s="672"/>
      <c r="IGM31" s="672"/>
      <c r="IGN31" s="672"/>
      <c r="IGO31" s="672"/>
      <c r="IGP31" s="672"/>
      <c r="IGQ31" s="672"/>
      <c r="IGR31" s="672"/>
      <c r="IGS31" s="672"/>
      <c r="IGT31" s="672"/>
      <c r="IGU31" s="672"/>
      <c r="IGV31" s="672"/>
      <c r="IGW31" s="672"/>
      <c r="IGX31" s="672"/>
      <c r="IGY31" s="672"/>
      <c r="IGZ31" s="672"/>
      <c r="IHA31" s="672"/>
      <c r="IHB31" s="672"/>
      <c r="IHC31" s="672"/>
      <c r="IHD31" s="672"/>
      <c r="IHE31" s="672"/>
      <c r="IHF31" s="672"/>
      <c r="IHG31" s="672"/>
      <c r="IHH31" s="672"/>
      <c r="IHI31" s="672"/>
      <c r="IHJ31" s="672"/>
      <c r="IHK31" s="672"/>
      <c r="IHL31" s="672"/>
      <c r="IHM31" s="672"/>
      <c r="IHN31" s="672"/>
      <c r="IHO31" s="672"/>
      <c r="IHP31" s="672"/>
      <c r="IHQ31" s="672"/>
      <c r="IHR31" s="672"/>
      <c r="IHS31" s="672"/>
      <c r="IHT31" s="672"/>
      <c r="IHU31" s="672"/>
      <c r="IHV31" s="672"/>
      <c r="IHW31" s="672"/>
      <c r="IHX31" s="672"/>
      <c r="IHY31" s="672"/>
      <c r="IHZ31" s="672"/>
      <c r="IIA31" s="672"/>
      <c r="IIB31" s="672"/>
      <c r="IIC31" s="672"/>
      <c r="IID31" s="672"/>
      <c r="IIE31" s="672"/>
      <c r="IIF31" s="672"/>
      <c r="IIG31" s="672"/>
      <c r="IIH31" s="672"/>
      <c r="III31" s="672"/>
      <c r="IIJ31" s="672"/>
      <c r="IIK31" s="672"/>
      <c r="IIL31" s="672"/>
      <c r="IIM31" s="672"/>
      <c r="IIN31" s="672"/>
      <c r="IIO31" s="672"/>
      <c r="IIP31" s="672"/>
      <c r="IIQ31" s="672"/>
      <c r="IIR31" s="672"/>
      <c r="IIS31" s="672"/>
      <c r="IIT31" s="672"/>
      <c r="IIU31" s="672"/>
      <c r="IIV31" s="672"/>
      <c r="IIW31" s="672"/>
      <c r="IIX31" s="672"/>
      <c r="IIY31" s="672"/>
      <c r="IIZ31" s="672"/>
      <c r="IJA31" s="672"/>
      <c r="IJB31" s="672"/>
      <c r="IJC31" s="672"/>
      <c r="IJD31" s="672"/>
      <c r="IJE31" s="672"/>
      <c r="IJF31" s="672"/>
      <c r="IJG31" s="672"/>
      <c r="IJH31" s="672"/>
      <c r="IJI31" s="672"/>
      <c r="IJJ31" s="672"/>
      <c r="IJK31" s="672"/>
      <c r="IJL31" s="672"/>
      <c r="IJM31" s="672"/>
      <c r="IJN31" s="672"/>
      <c r="IJO31" s="672"/>
      <c r="IJP31" s="672"/>
      <c r="IJQ31" s="672"/>
      <c r="IJR31" s="672"/>
      <c r="IJS31" s="672"/>
      <c r="IJT31" s="672"/>
      <c r="IJU31" s="672"/>
      <c r="IJV31" s="672"/>
      <c r="IJW31" s="672"/>
      <c r="IJX31" s="672"/>
      <c r="IJY31" s="672"/>
      <c r="IJZ31" s="672"/>
      <c r="IKA31" s="672"/>
      <c r="IKB31" s="672"/>
      <c r="IKC31" s="672"/>
      <c r="IKD31" s="672"/>
      <c r="IKE31" s="672"/>
      <c r="IKF31" s="672"/>
      <c r="IKG31" s="672"/>
      <c r="IKH31" s="672"/>
      <c r="IKI31" s="672"/>
      <c r="IKJ31" s="672"/>
      <c r="IKK31" s="672"/>
      <c r="IKL31" s="672"/>
      <c r="IKM31" s="672"/>
      <c r="IKN31" s="672"/>
      <c r="IKO31" s="672"/>
      <c r="IKP31" s="672"/>
      <c r="IKQ31" s="672"/>
      <c r="IKR31" s="672"/>
      <c r="IKS31" s="672"/>
      <c r="IKT31" s="672"/>
      <c r="IKU31" s="672"/>
      <c r="IKV31" s="672"/>
      <c r="IKW31" s="672"/>
      <c r="IKX31" s="672"/>
      <c r="IKY31" s="672"/>
      <c r="IKZ31" s="672"/>
      <c r="ILA31" s="672"/>
      <c r="ILB31" s="672"/>
      <c r="ILC31" s="672"/>
      <c r="ILD31" s="672"/>
      <c r="ILE31" s="672"/>
      <c r="ILF31" s="672"/>
      <c r="ILG31" s="672"/>
      <c r="ILH31" s="672"/>
      <c r="ILI31" s="672"/>
      <c r="ILJ31" s="672"/>
      <c r="ILK31" s="672"/>
      <c r="ILL31" s="672"/>
      <c r="ILM31" s="672"/>
      <c r="ILN31" s="672"/>
      <c r="ILO31" s="672"/>
      <c r="ILP31" s="672"/>
      <c r="ILQ31" s="672"/>
      <c r="ILR31" s="672"/>
      <c r="ILS31" s="672"/>
      <c r="ILT31" s="672"/>
      <c r="ILU31" s="672"/>
      <c r="ILV31" s="672"/>
      <c r="ILW31" s="672"/>
      <c r="ILX31" s="672"/>
      <c r="ILY31" s="672"/>
      <c r="ILZ31" s="672"/>
      <c r="IMA31" s="672"/>
      <c r="IMB31" s="672"/>
      <c r="IMC31" s="672"/>
      <c r="IMD31" s="672"/>
      <c r="IME31" s="672"/>
      <c r="IMF31" s="672"/>
      <c r="IMG31" s="672"/>
      <c r="IMH31" s="672"/>
      <c r="IMI31" s="672"/>
      <c r="IMJ31" s="672"/>
      <c r="IMK31" s="672"/>
      <c r="IML31" s="672"/>
      <c r="IMM31" s="672"/>
      <c r="IMN31" s="672"/>
      <c r="IMO31" s="672"/>
      <c r="IMP31" s="672"/>
      <c r="IMQ31" s="672"/>
      <c r="IMR31" s="672"/>
      <c r="IMS31" s="672"/>
      <c r="IMT31" s="672"/>
      <c r="IMU31" s="672"/>
      <c r="IMV31" s="672"/>
      <c r="IMW31" s="672"/>
      <c r="IMX31" s="672"/>
      <c r="IMY31" s="672"/>
      <c r="IMZ31" s="672"/>
      <c r="INA31" s="672"/>
      <c r="INB31" s="672"/>
      <c r="INC31" s="672"/>
      <c r="IND31" s="672"/>
      <c r="INE31" s="672"/>
      <c r="INF31" s="672"/>
      <c r="ING31" s="672"/>
      <c r="INH31" s="672"/>
      <c r="INI31" s="672"/>
      <c r="INJ31" s="672"/>
      <c r="INK31" s="672"/>
      <c r="INL31" s="672"/>
      <c r="INM31" s="672"/>
      <c r="INN31" s="672"/>
      <c r="INO31" s="672"/>
      <c r="INP31" s="672"/>
      <c r="INQ31" s="672"/>
      <c r="INR31" s="672"/>
      <c r="INS31" s="672"/>
      <c r="INT31" s="672"/>
      <c r="INU31" s="672"/>
      <c r="INV31" s="672"/>
      <c r="INW31" s="672"/>
      <c r="INX31" s="672"/>
      <c r="INY31" s="672"/>
      <c r="INZ31" s="672"/>
      <c r="IOA31" s="672"/>
      <c r="IOB31" s="672"/>
      <c r="IOC31" s="672"/>
      <c r="IOD31" s="672"/>
      <c r="IOE31" s="672"/>
      <c r="IOF31" s="672"/>
      <c r="IOG31" s="672"/>
      <c r="IOH31" s="672"/>
      <c r="IOI31" s="672"/>
      <c r="IOJ31" s="672"/>
      <c r="IOK31" s="672"/>
      <c r="IOL31" s="672"/>
      <c r="IOM31" s="672"/>
      <c r="ION31" s="672"/>
      <c r="IOO31" s="672"/>
      <c r="IOP31" s="672"/>
      <c r="IOQ31" s="672"/>
      <c r="IOR31" s="672"/>
      <c r="IOS31" s="672"/>
      <c r="IOT31" s="672"/>
      <c r="IOU31" s="672"/>
      <c r="IOV31" s="672"/>
      <c r="IOW31" s="672"/>
      <c r="IOX31" s="672"/>
      <c r="IOY31" s="672"/>
      <c r="IOZ31" s="672"/>
      <c r="IPA31" s="672"/>
      <c r="IPB31" s="672"/>
      <c r="IPC31" s="672"/>
      <c r="IPD31" s="672"/>
      <c r="IPE31" s="672"/>
      <c r="IPF31" s="672"/>
      <c r="IPG31" s="672"/>
      <c r="IPH31" s="672"/>
      <c r="IPI31" s="672"/>
      <c r="IPJ31" s="672"/>
      <c r="IPK31" s="672"/>
      <c r="IPL31" s="672"/>
      <c r="IPM31" s="672"/>
      <c r="IPN31" s="672"/>
      <c r="IPO31" s="672"/>
      <c r="IPP31" s="672"/>
      <c r="IPQ31" s="672"/>
      <c r="IPR31" s="672"/>
      <c r="IPS31" s="672"/>
      <c r="IPT31" s="672"/>
      <c r="IPU31" s="672"/>
      <c r="IPV31" s="672"/>
      <c r="IPW31" s="672"/>
      <c r="IPX31" s="672"/>
      <c r="IPY31" s="672"/>
      <c r="IPZ31" s="672"/>
      <c r="IQA31" s="672"/>
      <c r="IQB31" s="672"/>
      <c r="IQC31" s="672"/>
      <c r="IQD31" s="672"/>
      <c r="IQE31" s="672"/>
      <c r="IQF31" s="672"/>
      <c r="IQG31" s="672"/>
      <c r="IQH31" s="672"/>
      <c r="IQI31" s="672"/>
      <c r="IQJ31" s="672"/>
      <c r="IQK31" s="672"/>
      <c r="IQL31" s="672"/>
      <c r="IQM31" s="672"/>
      <c r="IQN31" s="672"/>
      <c r="IQO31" s="672"/>
      <c r="IQP31" s="672"/>
      <c r="IQQ31" s="672"/>
      <c r="IQR31" s="672"/>
      <c r="IQS31" s="672"/>
      <c r="IQT31" s="672"/>
      <c r="IQU31" s="672"/>
      <c r="IQV31" s="672"/>
      <c r="IQW31" s="672"/>
      <c r="IQX31" s="672"/>
      <c r="IQY31" s="672"/>
      <c r="IQZ31" s="672"/>
      <c r="IRA31" s="672"/>
      <c r="IRB31" s="672"/>
      <c r="IRC31" s="672"/>
      <c r="IRD31" s="672"/>
      <c r="IRE31" s="672"/>
      <c r="IRF31" s="672"/>
      <c r="IRG31" s="672"/>
      <c r="IRH31" s="672"/>
      <c r="IRI31" s="672"/>
      <c r="IRJ31" s="672"/>
      <c r="IRK31" s="672"/>
      <c r="IRL31" s="672"/>
      <c r="IRM31" s="672"/>
      <c r="IRN31" s="672"/>
      <c r="IRO31" s="672"/>
      <c r="IRP31" s="672"/>
      <c r="IRQ31" s="672"/>
      <c r="IRR31" s="672"/>
      <c r="IRS31" s="672"/>
      <c r="IRT31" s="672"/>
      <c r="IRU31" s="672"/>
      <c r="IRV31" s="672"/>
      <c r="IRW31" s="672"/>
      <c r="IRX31" s="672"/>
      <c r="IRY31" s="672"/>
      <c r="IRZ31" s="672"/>
      <c r="ISA31" s="672"/>
      <c r="ISB31" s="672"/>
      <c r="ISC31" s="672"/>
      <c r="ISD31" s="672"/>
      <c r="ISE31" s="672"/>
      <c r="ISF31" s="672"/>
      <c r="ISG31" s="672"/>
      <c r="ISH31" s="672"/>
      <c r="ISI31" s="672"/>
      <c r="ISJ31" s="672"/>
      <c r="ISK31" s="672"/>
      <c r="ISL31" s="672"/>
      <c r="ISM31" s="672"/>
      <c r="ISN31" s="672"/>
      <c r="ISO31" s="672"/>
      <c r="ISP31" s="672"/>
      <c r="ISQ31" s="672"/>
      <c r="ISR31" s="672"/>
      <c r="ISS31" s="672"/>
      <c r="IST31" s="672"/>
      <c r="ISU31" s="672"/>
      <c r="ISV31" s="672"/>
      <c r="ISW31" s="672"/>
      <c r="ISX31" s="672"/>
      <c r="ISY31" s="672"/>
      <c r="ISZ31" s="672"/>
      <c r="ITA31" s="672"/>
      <c r="ITB31" s="672"/>
      <c r="ITC31" s="672"/>
      <c r="ITD31" s="672"/>
      <c r="ITE31" s="672"/>
      <c r="ITF31" s="672"/>
      <c r="ITG31" s="672"/>
      <c r="ITH31" s="672"/>
      <c r="ITI31" s="672"/>
      <c r="ITJ31" s="672"/>
      <c r="ITK31" s="672"/>
      <c r="ITL31" s="672"/>
      <c r="ITM31" s="672"/>
      <c r="ITN31" s="672"/>
      <c r="ITO31" s="672"/>
      <c r="ITP31" s="672"/>
      <c r="ITQ31" s="672"/>
      <c r="ITR31" s="672"/>
      <c r="ITS31" s="672"/>
      <c r="ITT31" s="672"/>
      <c r="ITU31" s="672"/>
      <c r="ITV31" s="672"/>
      <c r="ITW31" s="672"/>
      <c r="ITX31" s="672"/>
      <c r="ITY31" s="672"/>
      <c r="ITZ31" s="672"/>
      <c r="IUA31" s="672"/>
      <c r="IUB31" s="672"/>
      <c r="IUC31" s="672"/>
      <c r="IUD31" s="672"/>
      <c r="IUE31" s="672"/>
      <c r="IUF31" s="672"/>
      <c r="IUG31" s="672"/>
      <c r="IUH31" s="672"/>
      <c r="IUI31" s="672"/>
      <c r="IUJ31" s="672"/>
      <c r="IUK31" s="672"/>
      <c r="IUL31" s="672"/>
      <c r="IUM31" s="672"/>
      <c r="IUN31" s="672"/>
      <c r="IUO31" s="672"/>
      <c r="IUP31" s="672"/>
      <c r="IUQ31" s="672"/>
      <c r="IUR31" s="672"/>
      <c r="IUS31" s="672"/>
      <c r="IUT31" s="672"/>
      <c r="IUU31" s="672"/>
      <c r="IUV31" s="672"/>
      <c r="IUW31" s="672"/>
      <c r="IUX31" s="672"/>
      <c r="IUY31" s="672"/>
      <c r="IUZ31" s="672"/>
      <c r="IVA31" s="672"/>
      <c r="IVB31" s="672"/>
      <c r="IVC31" s="672"/>
      <c r="IVD31" s="672"/>
      <c r="IVE31" s="672"/>
      <c r="IVF31" s="672"/>
      <c r="IVG31" s="672"/>
      <c r="IVH31" s="672"/>
      <c r="IVI31" s="672"/>
      <c r="IVJ31" s="672"/>
      <c r="IVK31" s="672"/>
      <c r="IVL31" s="672"/>
      <c r="IVM31" s="672"/>
      <c r="IVN31" s="672"/>
      <c r="IVO31" s="672"/>
      <c r="IVP31" s="672"/>
      <c r="IVQ31" s="672"/>
      <c r="IVR31" s="672"/>
      <c r="IVS31" s="672"/>
      <c r="IVT31" s="672"/>
      <c r="IVU31" s="672"/>
      <c r="IVV31" s="672"/>
      <c r="IVW31" s="672"/>
      <c r="IVX31" s="672"/>
      <c r="IVY31" s="672"/>
      <c r="IVZ31" s="672"/>
      <c r="IWA31" s="672"/>
      <c r="IWB31" s="672"/>
      <c r="IWC31" s="672"/>
      <c r="IWD31" s="672"/>
      <c r="IWE31" s="672"/>
      <c r="IWF31" s="672"/>
      <c r="IWG31" s="672"/>
      <c r="IWH31" s="672"/>
      <c r="IWI31" s="672"/>
      <c r="IWJ31" s="672"/>
      <c r="IWK31" s="672"/>
      <c r="IWL31" s="672"/>
      <c r="IWM31" s="672"/>
      <c r="IWN31" s="672"/>
      <c r="IWO31" s="672"/>
      <c r="IWP31" s="672"/>
      <c r="IWQ31" s="672"/>
      <c r="IWR31" s="672"/>
      <c r="IWS31" s="672"/>
      <c r="IWT31" s="672"/>
      <c r="IWU31" s="672"/>
      <c r="IWV31" s="672"/>
      <c r="IWW31" s="672"/>
      <c r="IWX31" s="672"/>
      <c r="IWY31" s="672"/>
      <c r="IWZ31" s="672"/>
      <c r="IXA31" s="672"/>
      <c r="IXB31" s="672"/>
      <c r="IXC31" s="672"/>
      <c r="IXD31" s="672"/>
      <c r="IXE31" s="672"/>
      <c r="IXF31" s="672"/>
      <c r="IXG31" s="672"/>
      <c r="IXH31" s="672"/>
      <c r="IXI31" s="672"/>
      <c r="IXJ31" s="672"/>
      <c r="IXK31" s="672"/>
      <c r="IXL31" s="672"/>
      <c r="IXM31" s="672"/>
      <c r="IXN31" s="672"/>
      <c r="IXO31" s="672"/>
      <c r="IXP31" s="672"/>
      <c r="IXQ31" s="672"/>
      <c r="IXR31" s="672"/>
      <c r="IXS31" s="672"/>
      <c r="IXT31" s="672"/>
      <c r="IXU31" s="672"/>
      <c r="IXV31" s="672"/>
      <c r="IXW31" s="672"/>
      <c r="IXX31" s="672"/>
      <c r="IXY31" s="672"/>
      <c r="IXZ31" s="672"/>
      <c r="IYA31" s="672"/>
      <c r="IYB31" s="672"/>
      <c r="IYC31" s="672"/>
      <c r="IYD31" s="672"/>
      <c r="IYE31" s="672"/>
      <c r="IYF31" s="672"/>
      <c r="IYG31" s="672"/>
      <c r="IYH31" s="672"/>
      <c r="IYI31" s="672"/>
      <c r="IYJ31" s="672"/>
      <c r="IYK31" s="672"/>
      <c r="IYL31" s="672"/>
      <c r="IYM31" s="672"/>
      <c r="IYN31" s="672"/>
      <c r="IYO31" s="672"/>
      <c r="IYP31" s="672"/>
      <c r="IYQ31" s="672"/>
      <c r="IYR31" s="672"/>
      <c r="IYS31" s="672"/>
      <c r="IYT31" s="672"/>
      <c r="IYU31" s="672"/>
      <c r="IYV31" s="672"/>
      <c r="IYW31" s="672"/>
      <c r="IYX31" s="672"/>
      <c r="IYY31" s="672"/>
      <c r="IYZ31" s="672"/>
      <c r="IZA31" s="672"/>
      <c r="IZB31" s="672"/>
      <c r="IZC31" s="672"/>
      <c r="IZD31" s="672"/>
      <c r="IZE31" s="672"/>
      <c r="IZF31" s="672"/>
      <c r="IZG31" s="672"/>
      <c r="IZH31" s="672"/>
      <c r="IZI31" s="672"/>
      <c r="IZJ31" s="672"/>
      <c r="IZK31" s="672"/>
      <c r="IZL31" s="672"/>
      <c r="IZM31" s="672"/>
      <c r="IZN31" s="672"/>
      <c r="IZO31" s="672"/>
      <c r="IZP31" s="672"/>
      <c r="IZQ31" s="672"/>
      <c r="IZR31" s="672"/>
      <c r="IZS31" s="672"/>
      <c r="IZT31" s="672"/>
      <c r="IZU31" s="672"/>
      <c r="IZV31" s="672"/>
      <c r="IZW31" s="672"/>
      <c r="IZX31" s="672"/>
      <c r="IZY31" s="672"/>
      <c r="IZZ31" s="672"/>
      <c r="JAA31" s="672"/>
      <c r="JAB31" s="672"/>
      <c r="JAC31" s="672"/>
      <c r="JAD31" s="672"/>
      <c r="JAE31" s="672"/>
      <c r="JAF31" s="672"/>
      <c r="JAG31" s="672"/>
      <c r="JAH31" s="672"/>
      <c r="JAI31" s="672"/>
      <c r="JAJ31" s="672"/>
      <c r="JAK31" s="672"/>
      <c r="JAL31" s="672"/>
      <c r="JAM31" s="672"/>
      <c r="JAN31" s="672"/>
      <c r="JAO31" s="672"/>
      <c r="JAP31" s="672"/>
      <c r="JAQ31" s="672"/>
      <c r="JAR31" s="672"/>
      <c r="JAS31" s="672"/>
      <c r="JAT31" s="672"/>
      <c r="JAU31" s="672"/>
      <c r="JAV31" s="672"/>
      <c r="JAW31" s="672"/>
      <c r="JAX31" s="672"/>
      <c r="JAY31" s="672"/>
      <c r="JAZ31" s="672"/>
      <c r="JBA31" s="672"/>
      <c r="JBB31" s="672"/>
      <c r="JBC31" s="672"/>
      <c r="JBD31" s="672"/>
      <c r="JBE31" s="672"/>
      <c r="JBF31" s="672"/>
      <c r="JBG31" s="672"/>
      <c r="JBH31" s="672"/>
      <c r="JBI31" s="672"/>
      <c r="JBJ31" s="672"/>
      <c r="JBK31" s="672"/>
      <c r="JBL31" s="672"/>
      <c r="JBM31" s="672"/>
      <c r="JBN31" s="672"/>
      <c r="JBO31" s="672"/>
      <c r="JBP31" s="672"/>
      <c r="JBQ31" s="672"/>
      <c r="JBR31" s="672"/>
      <c r="JBS31" s="672"/>
      <c r="JBT31" s="672"/>
      <c r="JBU31" s="672"/>
      <c r="JBV31" s="672"/>
      <c r="JBW31" s="672"/>
      <c r="JBX31" s="672"/>
      <c r="JBY31" s="672"/>
      <c r="JBZ31" s="672"/>
      <c r="JCA31" s="672"/>
      <c r="JCB31" s="672"/>
      <c r="JCC31" s="672"/>
      <c r="JCD31" s="672"/>
      <c r="JCE31" s="672"/>
      <c r="JCF31" s="672"/>
      <c r="JCG31" s="672"/>
      <c r="JCH31" s="672"/>
      <c r="JCI31" s="672"/>
      <c r="JCJ31" s="672"/>
      <c r="JCK31" s="672"/>
      <c r="JCL31" s="672"/>
      <c r="JCM31" s="672"/>
      <c r="JCN31" s="672"/>
      <c r="JCO31" s="672"/>
      <c r="JCP31" s="672"/>
      <c r="JCQ31" s="672"/>
      <c r="JCR31" s="672"/>
      <c r="JCS31" s="672"/>
      <c r="JCT31" s="672"/>
      <c r="JCU31" s="672"/>
      <c r="JCV31" s="672"/>
      <c r="JCW31" s="672"/>
      <c r="JCX31" s="672"/>
      <c r="JCY31" s="672"/>
      <c r="JCZ31" s="672"/>
      <c r="JDA31" s="672"/>
      <c r="JDB31" s="672"/>
      <c r="JDC31" s="672"/>
      <c r="JDD31" s="672"/>
      <c r="JDE31" s="672"/>
      <c r="JDF31" s="672"/>
      <c r="JDG31" s="672"/>
      <c r="JDH31" s="672"/>
      <c r="JDI31" s="672"/>
      <c r="JDJ31" s="672"/>
      <c r="JDK31" s="672"/>
      <c r="JDL31" s="672"/>
      <c r="JDM31" s="672"/>
      <c r="JDN31" s="672"/>
      <c r="JDO31" s="672"/>
      <c r="JDP31" s="672"/>
      <c r="JDQ31" s="672"/>
      <c r="JDR31" s="672"/>
      <c r="JDS31" s="672"/>
      <c r="JDT31" s="672"/>
      <c r="JDU31" s="672"/>
      <c r="JDV31" s="672"/>
      <c r="JDW31" s="672"/>
      <c r="JDX31" s="672"/>
      <c r="JDY31" s="672"/>
      <c r="JDZ31" s="672"/>
      <c r="JEA31" s="672"/>
      <c r="JEB31" s="672"/>
      <c r="JEC31" s="672"/>
      <c r="JED31" s="672"/>
      <c r="JEE31" s="672"/>
      <c r="JEF31" s="672"/>
      <c r="JEG31" s="672"/>
      <c r="JEH31" s="672"/>
      <c r="JEI31" s="672"/>
      <c r="JEJ31" s="672"/>
      <c r="JEK31" s="672"/>
      <c r="JEL31" s="672"/>
      <c r="JEM31" s="672"/>
      <c r="JEN31" s="672"/>
      <c r="JEO31" s="672"/>
      <c r="JEP31" s="672"/>
      <c r="JEQ31" s="672"/>
      <c r="JER31" s="672"/>
      <c r="JES31" s="672"/>
      <c r="JET31" s="672"/>
      <c r="JEU31" s="672"/>
      <c r="JEV31" s="672"/>
      <c r="JEW31" s="672"/>
      <c r="JEX31" s="672"/>
      <c r="JEY31" s="672"/>
      <c r="JEZ31" s="672"/>
      <c r="JFA31" s="672"/>
      <c r="JFB31" s="672"/>
      <c r="JFC31" s="672"/>
      <c r="JFD31" s="672"/>
      <c r="JFE31" s="672"/>
      <c r="JFF31" s="672"/>
      <c r="JFG31" s="672"/>
      <c r="JFH31" s="672"/>
      <c r="JFI31" s="672"/>
      <c r="JFJ31" s="672"/>
      <c r="JFK31" s="672"/>
      <c r="JFL31" s="672"/>
      <c r="JFM31" s="672"/>
      <c r="JFN31" s="672"/>
      <c r="JFO31" s="672"/>
      <c r="JFP31" s="672"/>
      <c r="JFQ31" s="672"/>
      <c r="JFR31" s="672"/>
      <c r="JFS31" s="672"/>
      <c r="JFT31" s="672"/>
      <c r="JFU31" s="672"/>
      <c r="JFV31" s="672"/>
      <c r="JFW31" s="672"/>
      <c r="JFX31" s="672"/>
      <c r="JFY31" s="672"/>
      <c r="JFZ31" s="672"/>
      <c r="JGA31" s="672"/>
      <c r="JGB31" s="672"/>
      <c r="JGC31" s="672"/>
      <c r="JGD31" s="672"/>
      <c r="JGE31" s="672"/>
      <c r="JGF31" s="672"/>
      <c r="JGG31" s="672"/>
      <c r="JGH31" s="672"/>
      <c r="JGI31" s="672"/>
      <c r="JGJ31" s="672"/>
      <c r="JGK31" s="672"/>
      <c r="JGL31" s="672"/>
      <c r="JGM31" s="672"/>
      <c r="JGN31" s="672"/>
      <c r="JGO31" s="672"/>
      <c r="JGP31" s="672"/>
      <c r="JGQ31" s="672"/>
      <c r="JGR31" s="672"/>
      <c r="JGS31" s="672"/>
      <c r="JGT31" s="672"/>
      <c r="JGU31" s="672"/>
      <c r="JGV31" s="672"/>
      <c r="JGW31" s="672"/>
      <c r="JGX31" s="672"/>
      <c r="JGY31" s="672"/>
      <c r="JGZ31" s="672"/>
      <c r="JHA31" s="672"/>
      <c r="JHB31" s="672"/>
      <c r="JHC31" s="672"/>
      <c r="JHD31" s="672"/>
      <c r="JHE31" s="672"/>
      <c r="JHF31" s="672"/>
      <c r="JHG31" s="672"/>
      <c r="JHH31" s="672"/>
      <c r="JHI31" s="672"/>
      <c r="JHJ31" s="672"/>
      <c r="JHK31" s="672"/>
      <c r="JHL31" s="672"/>
      <c r="JHM31" s="672"/>
      <c r="JHN31" s="672"/>
      <c r="JHO31" s="672"/>
      <c r="JHP31" s="672"/>
      <c r="JHQ31" s="672"/>
      <c r="JHR31" s="672"/>
      <c r="JHS31" s="672"/>
      <c r="JHT31" s="672"/>
      <c r="JHU31" s="672"/>
      <c r="JHV31" s="672"/>
      <c r="JHW31" s="672"/>
      <c r="JHX31" s="672"/>
      <c r="JHY31" s="672"/>
      <c r="JHZ31" s="672"/>
      <c r="JIA31" s="672"/>
      <c r="JIB31" s="672"/>
      <c r="JIC31" s="672"/>
      <c r="JID31" s="672"/>
      <c r="JIE31" s="672"/>
      <c r="JIF31" s="672"/>
      <c r="JIG31" s="672"/>
      <c r="JIH31" s="672"/>
      <c r="JII31" s="672"/>
      <c r="JIJ31" s="672"/>
      <c r="JIK31" s="672"/>
      <c r="JIL31" s="672"/>
      <c r="JIM31" s="672"/>
      <c r="JIN31" s="672"/>
      <c r="JIO31" s="672"/>
      <c r="JIP31" s="672"/>
      <c r="JIQ31" s="672"/>
      <c r="JIR31" s="672"/>
      <c r="JIS31" s="672"/>
      <c r="JIT31" s="672"/>
      <c r="JIU31" s="672"/>
      <c r="JIV31" s="672"/>
      <c r="JIW31" s="672"/>
      <c r="JIX31" s="672"/>
      <c r="JIY31" s="672"/>
      <c r="JIZ31" s="672"/>
      <c r="JJA31" s="672"/>
      <c r="JJB31" s="672"/>
      <c r="JJC31" s="672"/>
      <c r="JJD31" s="672"/>
      <c r="JJE31" s="672"/>
      <c r="JJF31" s="672"/>
      <c r="JJG31" s="672"/>
      <c r="JJH31" s="672"/>
      <c r="JJI31" s="672"/>
      <c r="JJJ31" s="672"/>
      <c r="JJK31" s="672"/>
      <c r="JJL31" s="672"/>
      <c r="JJM31" s="672"/>
      <c r="JJN31" s="672"/>
      <c r="JJO31" s="672"/>
      <c r="JJP31" s="672"/>
      <c r="JJQ31" s="672"/>
      <c r="JJR31" s="672"/>
      <c r="JJS31" s="672"/>
      <c r="JJT31" s="672"/>
      <c r="JJU31" s="672"/>
      <c r="JJV31" s="672"/>
      <c r="JJW31" s="672"/>
      <c r="JJX31" s="672"/>
      <c r="JJY31" s="672"/>
      <c r="JJZ31" s="672"/>
      <c r="JKA31" s="672"/>
      <c r="JKB31" s="672"/>
      <c r="JKC31" s="672"/>
      <c r="JKD31" s="672"/>
      <c r="JKE31" s="672"/>
      <c r="JKF31" s="672"/>
      <c r="JKG31" s="672"/>
      <c r="JKH31" s="672"/>
      <c r="JKI31" s="672"/>
      <c r="JKJ31" s="672"/>
      <c r="JKK31" s="672"/>
      <c r="JKL31" s="672"/>
      <c r="JKM31" s="672"/>
      <c r="JKN31" s="672"/>
      <c r="JKO31" s="672"/>
      <c r="JKP31" s="672"/>
      <c r="JKQ31" s="672"/>
      <c r="JKR31" s="672"/>
      <c r="JKS31" s="672"/>
      <c r="JKT31" s="672"/>
      <c r="JKU31" s="672"/>
      <c r="JKV31" s="672"/>
      <c r="JKW31" s="672"/>
      <c r="JKX31" s="672"/>
      <c r="JKY31" s="672"/>
      <c r="JKZ31" s="672"/>
      <c r="JLA31" s="672"/>
      <c r="JLB31" s="672"/>
      <c r="JLC31" s="672"/>
      <c r="JLD31" s="672"/>
      <c r="JLE31" s="672"/>
      <c r="JLF31" s="672"/>
      <c r="JLG31" s="672"/>
      <c r="JLH31" s="672"/>
      <c r="JLI31" s="672"/>
      <c r="JLJ31" s="672"/>
      <c r="JLK31" s="672"/>
      <c r="JLL31" s="672"/>
      <c r="JLM31" s="672"/>
      <c r="JLN31" s="672"/>
      <c r="JLO31" s="672"/>
      <c r="JLP31" s="672"/>
      <c r="JLQ31" s="672"/>
      <c r="JLR31" s="672"/>
      <c r="JLS31" s="672"/>
      <c r="JLT31" s="672"/>
      <c r="JLU31" s="672"/>
      <c r="JLV31" s="672"/>
      <c r="JLW31" s="672"/>
      <c r="JLX31" s="672"/>
      <c r="JLY31" s="672"/>
      <c r="JLZ31" s="672"/>
      <c r="JMA31" s="672"/>
      <c r="JMB31" s="672"/>
      <c r="JMC31" s="672"/>
      <c r="JMD31" s="672"/>
      <c r="JME31" s="672"/>
      <c r="JMF31" s="672"/>
      <c r="JMG31" s="672"/>
      <c r="JMH31" s="672"/>
      <c r="JMI31" s="672"/>
      <c r="JMJ31" s="672"/>
      <c r="JMK31" s="672"/>
      <c r="JML31" s="672"/>
      <c r="JMM31" s="672"/>
      <c r="JMN31" s="672"/>
      <c r="JMO31" s="672"/>
      <c r="JMP31" s="672"/>
      <c r="JMQ31" s="672"/>
      <c r="JMR31" s="672"/>
      <c r="JMS31" s="672"/>
      <c r="JMT31" s="672"/>
      <c r="JMU31" s="672"/>
      <c r="JMV31" s="672"/>
      <c r="JMW31" s="672"/>
      <c r="JMX31" s="672"/>
      <c r="JMY31" s="672"/>
      <c r="JMZ31" s="672"/>
      <c r="JNA31" s="672"/>
      <c r="JNB31" s="672"/>
      <c r="JNC31" s="672"/>
      <c r="JND31" s="672"/>
      <c r="JNE31" s="672"/>
      <c r="JNF31" s="672"/>
      <c r="JNG31" s="672"/>
      <c r="JNH31" s="672"/>
      <c r="JNI31" s="672"/>
      <c r="JNJ31" s="672"/>
      <c r="JNK31" s="672"/>
      <c r="JNL31" s="672"/>
      <c r="JNM31" s="672"/>
      <c r="JNN31" s="672"/>
      <c r="JNO31" s="672"/>
      <c r="JNP31" s="672"/>
      <c r="JNQ31" s="672"/>
      <c r="JNR31" s="672"/>
      <c r="JNS31" s="672"/>
      <c r="JNT31" s="672"/>
      <c r="JNU31" s="672"/>
      <c r="JNV31" s="672"/>
      <c r="JNW31" s="672"/>
      <c r="JNX31" s="672"/>
      <c r="JNY31" s="672"/>
      <c r="JNZ31" s="672"/>
      <c r="JOA31" s="672"/>
      <c r="JOB31" s="672"/>
      <c r="JOC31" s="672"/>
      <c r="JOD31" s="672"/>
      <c r="JOE31" s="672"/>
      <c r="JOF31" s="672"/>
      <c r="JOG31" s="672"/>
      <c r="JOH31" s="672"/>
      <c r="JOI31" s="672"/>
      <c r="JOJ31" s="672"/>
      <c r="JOK31" s="672"/>
      <c r="JOL31" s="672"/>
      <c r="JOM31" s="672"/>
      <c r="JON31" s="672"/>
      <c r="JOO31" s="672"/>
      <c r="JOP31" s="672"/>
      <c r="JOQ31" s="672"/>
      <c r="JOR31" s="672"/>
      <c r="JOS31" s="672"/>
      <c r="JOT31" s="672"/>
      <c r="JOU31" s="672"/>
      <c r="JOV31" s="672"/>
      <c r="JOW31" s="672"/>
      <c r="JOX31" s="672"/>
      <c r="JOY31" s="672"/>
      <c r="JOZ31" s="672"/>
      <c r="JPA31" s="672"/>
      <c r="JPB31" s="672"/>
      <c r="JPC31" s="672"/>
      <c r="JPD31" s="672"/>
      <c r="JPE31" s="672"/>
      <c r="JPF31" s="672"/>
      <c r="JPG31" s="672"/>
      <c r="JPH31" s="672"/>
      <c r="JPI31" s="672"/>
      <c r="JPJ31" s="672"/>
      <c r="JPK31" s="672"/>
      <c r="JPL31" s="672"/>
      <c r="JPM31" s="672"/>
      <c r="JPN31" s="672"/>
      <c r="JPO31" s="672"/>
      <c r="JPP31" s="672"/>
      <c r="JPQ31" s="672"/>
      <c r="JPR31" s="672"/>
      <c r="JPS31" s="672"/>
      <c r="JPT31" s="672"/>
      <c r="JPU31" s="672"/>
      <c r="JPV31" s="672"/>
      <c r="JPW31" s="672"/>
      <c r="JPX31" s="672"/>
      <c r="JPY31" s="672"/>
      <c r="JPZ31" s="672"/>
      <c r="JQA31" s="672"/>
      <c r="JQB31" s="672"/>
      <c r="JQC31" s="672"/>
      <c r="JQD31" s="672"/>
      <c r="JQE31" s="672"/>
      <c r="JQF31" s="672"/>
      <c r="JQG31" s="672"/>
      <c r="JQH31" s="672"/>
      <c r="JQI31" s="672"/>
      <c r="JQJ31" s="672"/>
      <c r="JQK31" s="672"/>
      <c r="JQL31" s="672"/>
      <c r="JQM31" s="672"/>
      <c r="JQN31" s="672"/>
      <c r="JQO31" s="672"/>
      <c r="JQP31" s="672"/>
      <c r="JQQ31" s="672"/>
      <c r="JQR31" s="672"/>
      <c r="JQS31" s="672"/>
      <c r="JQT31" s="672"/>
      <c r="JQU31" s="672"/>
      <c r="JQV31" s="672"/>
      <c r="JQW31" s="672"/>
      <c r="JQX31" s="672"/>
      <c r="JQY31" s="672"/>
      <c r="JQZ31" s="672"/>
      <c r="JRA31" s="672"/>
      <c r="JRB31" s="672"/>
      <c r="JRC31" s="672"/>
      <c r="JRD31" s="672"/>
      <c r="JRE31" s="672"/>
      <c r="JRF31" s="672"/>
      <c r="JRG31" s="672"/>
      <c r="JRH31" s="672"/>
      <c r="JRI31" s="672"/>
      <c r="JRJ31" s="672"/>
      <c r="JRK31" s="672"/>
      <c r="JRL31" s="672"/>
      <c r="JRM31" s="672"/>
      <c r="JRN31" s="672"/>
      <c r="JRO31" s="672"/>
      <c r="JRP31" s="672"/>
      <c r="JRQ31" s="672"/>
      <c r="JRR31" s="672"/>
      <c r="JRS31" s="672"/>
      <c r="JRT31" s="672"/>
      <c r="JRU31" s="672"/>
      <c r="JRV31" s="672"/>
      <c r="JRW31" s="672"/>
      <c r="JRX31" s="672"/>
      <c r="JRY31" s="672"/>
      <c r="JRZ31" s="672"/>
      <c r="JSA31" s="672"/>
      <c r="JSB31" s="672"/>
      <c r="JSC31" s="672"/>
      <c r="JSD31" s="672"/>
      <c r="JSE31" s="672"/>
      <c r="JSF31" s="672"/>
      <c r="JSG31" s="672"/>
      <c r="JSH31" s="672"/>
      <c r="JSI31" s="672"/>
      <c r="JSJ31" s="672"/>
      <c r="JSK31" s="672"/>
      <c r="JSL31" s="672"/>
      <c r="JSM31" s="672"/>
      <c r="JSN31" s="672"/>
      <c r="JSO31" s="672"/>
      <c r="JSP31" s="672"/>
      <c r="JSQ31" s="672"/>
      <c r="JSR31" s="672"/>
      <c r="JSS31" s="672"/>
      <c r="JST31" s="672"/>
      <c r="JSU31" s="672"/>
      <c r="JSV31" s="672"/>
      <c r="JSW31" s="672"/>
      <c r="JSX31" s="672"/>
      <c r="JSY31" s="672"/>
      <c r="JSZ31" s="672"/>
      <c r="JTA31" s="672"/>
      <c r="JTB31" s="672"/>
      <c r="JTC31" s="672"/>
      <c r="JTD31" s="672"/>
      <c r="JTE31" s="672"/>
      <c r="JTF31" s="672"/>
      <c r="JTG31" s="672"/>
      <c r="JTH31" s="672"/>
      <c r="JTI31" s="672"/>
      <c r="JTJ31" s="672"/>
      <c r="JTK31" s="672"/>
      <c r="JTL31" s="672"/>
      <c r="JTM31" s="672"/>
      <c r="JTN31" s="672"/>
      <c r="JTO31" s="672"/>
      <c r="JTP31" s="672"/>
      <c r="JTQ31" s="672"/>
      <c r="JTR31" s="672"/>
      <c r="JTS31" s="672"/>
      <c r="JTT31" s="672"/>
      <c r="JTU31" s="672"/>
      <c r="JTV31" s="672"/>
      <c r="JTW31" s="672"/>
      <c r="JTX31" s="672"/>
      <c r="JTY31" s="672"/>
      <c r="JTZ31" s="672"/>
      <c r="JUA31" s="672"/>
      <c r="JUB31" s="672"/>
      <c r="JUC31" s="672"/>
      <c r="JUD31" s="672"/>
      <c r="JUE31" s="672"/>
      <c r="JUF31" s="672"/>
      <c r="JUG31" s="672"/>
      <c r="JUH31" s="672"/>
      <c r="JUI31" s="672"/>
      <c r="JUJ31" s="672"/>
      <c r="JUK31" s="672"/>
      <c r="JUL31" s="672"/>
      <c r="JUM31" s="672"/>
      <c r="JUN31" s="672"/>
      <c r="JUO31" s="672"/>
      <c r="JUP31" s="672"/>
      <c r="JUQ31" s="672"/>
      <c r="JUR31" s="672"/>
      <c r="JUS31" s="672"/>
      <c r="JUT31" s="672"/>
      <c r="JUU31" s="672"/>
      <c r="JUV31" s="672"/>
      <c r="JUW31" s="672"/>
      <c r="JUX31" s="672"/>
      <c r="JUY31" s="672"/>
      <c r="JUZ31" s="672"/>
      <c r="JVA31" s="672"/>
      <c r="JVB31" s="672"/>
      <c r="JVC31" s="672"/>
      <c r="JVD31" s="672"/>
      <c r="JVE31" s="672"/>
      <c r="JVF31" s="672"/>
      <c r="JVG31" s="672"/>
      <c r="JVH31" s="672"/>
      <c r="JVI31" s="672"/>
      <c r="JVJ31" s="672"/>
      <c r="JVK31" s="672"/>
      <c r="JVL31" s="672"/>
      <c r="JVM31" s="672"/>
      <c r="JVN31" s="672"/>
      <c r="JVO31" s="672"/>
      <c r="JVP31" s="672"/>
      <c r="JVQ31" s="672"/>
      <c r="JVR31" s="672"/>
      <c r="JVS31" s="672"/>
      <c r="JVT31" s="672"/>
      <c r="JVU31" s="672"/>
      <c r="JVV31" s="672"/>
      <c r="JVW31" s="672"/>
      <c r="JVX31" s="672"/>
      <c r="JVY31" s="672"/>
      <c r="JVZ31" s="672"/>
      <c r="JWA31" s="672"/>
      <c r="JWB31" s="672"/>
      <c r="JWC31" s="672"/>
      <c r="JWD31" s="672"/>
      <c r="JWE31" s="672"/>
      <c r="JWF31" s="672"/>
      <c r="JWG31" s="672"/>
      <c r="JWH31" s="672"/>
      <c r="JWI31" s="672"/>
      <c r="JWJ31" s="672"/>
      <c r="JWK31" s="672"/>
      <c r="JWL31" s="672"/>
      <c r="JWM31" s="672"/>
      <c r="JWN31" s="672"/>
      <c r="JWO31" s="672"/>
      <c r="JWP31" s="672"/>
      <c r="JWQ31" s="672"/>
      <c r="JWR31" s="672"/>
      <c r="JWS31" s="672"/>
      <c r="JWT31" s="672"/>
      <c r="JWU31" s="672"/>
      <c r="JWV31" s="672"/>
      <c r="JWW31" s="672"/>
      <c r="JWX31" s="672"/>
      <c r="JWY31" s="672"/>
      <c r="JWZ31" s="672"/>
      <c r="JXA31" s="672"/>
      <c r="JXB31" s="672"/>
      <c r="JXC31" s="672"/>
      <c r="JXD31" s="672"/>
      <c r="JXE31" s="672"/>
      <c r="JXF31" s="672"/>
      <c r="JXG31" s="672"/>
      <c r="JXH31" s="672"/>
      <c r="JXI31" s="672"/>
      <c r="JXJ31" s="672"/>
      <c r="JXK31" s="672"/>
      <c r="JXL31" s="672"/>
      <c r="JXM31" s="672"/>
      <c r="JXN31" s="672"/>
      <c r="JXO31" s="672"/>
      <c r="JXP31" s="672"/>
      <c r="JXQ31" s="672"/>
      <c r="JXR31" s="672"/>
      <c r="JXS31" s="672"/>
      <c r="JXT31" s="672"/>
      <c r="JXU31" s="672"/>
      <c r="JXV31" s="672"/>
      <c r="JXW31" s="672"/>
      <c r="JXX31" s="672"/>
      <c r="JXY31" s="672"/>
      <c r="JXZ31" s="672"/>
      <c r="JYA31" s="672"/>
      <c r="JYB31" s="672"/>
      <c r="JYC31" s="672"/>
      <c r="JYD31" s="672"/>
      <c r="JYE31" s="672"/>
      <c r="JYF31" s="672"/>
      <c r="JYG31" s="672"/>
      <c r="JYH31" s="672"/>
      <c r="JYI31" s="672"/>
      <c r="JYJ31" s="672"/>
      <c r="JYK31" s="672"/>
      <c r="JYL31" s="672"/>
      <c r="JYM31" s="672"/>
      <c r="JYN31" s="672"/>
      <c r="JYO31" s="672"/>
      <c r="JYP31" s="672"/>
      <c r="JYQ31" s="672"/>
      <c r="JYR31" s="672"/>
      <c r="JYS31" s="672"/>
      <c r="JYT31" s="672"/>
      <c r="JYU31" s="672"/>
      <c r="JYV31" s="672"/>
      <c r="JYW31" s="672"/>
      <c r="JYX31" s="672"/>
      <c r="JYY31" s="672"/>
      <c r="JYZ31" s="672"/>
      <c r="JZA31" s="672"/>
      <c r="JZB31" s="672"/>
      <c r="JZC31" s="672"/>
      <c r="JZD31" s="672"/>
      <c r="JZE31" s="672"/>
      <c r="JZF31" s="672"/>
      <c r="JZG31" s="672"/>
      <c r="JZH31" s="672"/>
      <c r="JZI31" s="672"/>
      <c r="JZJ31" s="672"/>
      <c r="JZK31" s="672"/>
      <c r="JZL31" s="672"/>
      <c r="JZM31" s="672"/>
      <c r="JZN31" s="672"/>
      <c r="JZO31" s="672"/>
      <c r="JZP31" s="672"/>
      <c r="JZQ31" s="672"/>
      <c r="JZR31" s="672"/>
      <c r="JZS31" s="672"/>
      <c r="JZT31" s="672"/>
      <c r="JZU31" s="672"/>
      <c r="JZV31" s="672"/>
      <c r="JZW31" s="672"/>
      <c r="JZX31" s="672"/>
      <c r="JZY31" s="672"/>
      <c r="JZZ31" s="672"/>
      <c r="KAA31" s="672"/>
      <c r="KAB31" s="672"/>
      <c r="KAC31" s="672"/>
      <c r="KAD31" s="672"/>
      <c r="KAE31" s="672"/>
      <c r="KAF31" s="672"/>
      <c r="KAG31" s="672"/>
      <c r="KAH31" s="672"/>
      <c r="KAI31" s="672"/>
      <c r="KAJ31" s="672"/>
      <c r="KAK31" s="672"/>
      <c r="KAL31" s="672"/>
      <c r="KAM31" s="672"/>
      <c r="KAN31" s="672"/>
      <c r="KAO31" s="672"/>
      <c r="KAP31" s="672"/>
      <c r="KAQ31" s="672"/>
      <c r="KAR31" s="672"/>
      <c r="KAS31" s="672"/>
      <c r="KAT31" s="672"/>
      <c r="KAU31" s="672"/>
      <c r="KAV31" s="672"/>
      <c r="KAW31" s="672"/>
      <c r="KAX31" s="672"/>
      <c r="KAY31" s="672"/>
      <c r="KAZ31" s="672"/>
      <c r="KBA31" s="672"/>
      <c r="KBB31" s="672"/>
      <c r="KBC31" s="672"/>
      <c r="KBD31" s="672"/>
      <c r="KBE31" s="672"/>
      <c r="KBF31" s="672"/>
      <c r="KBG31" s="672"/>
      <c r="KBH31" s="672"/>
      <c r="KBI31" s="672"/>
      <c r="KBJ31" s="672"/>
      <c r="KBK31" s="672"/>
      <c r="KBL31" s="672"/>
      <c r="KBM31" s="672"/>
      <c r="KBN31" s="672"/>
      <c r="KBO31" s="672"/>
      <c r="KBP31" s="672"/>
      <c r="KBQ31" s="672"/>
      <c r="KBR31" s="672"/>
      <c r="KBS31" s="672"/>
      <c r="KBT31" s="672"/>
      <c r="KBU31" s="672"/>
      <c r="KBV31" s="672"/>
      <c r="KBW31" s="672"/>
      <c r="KBX31" s="672"/>
      <c r="KBY31" s="672"/>
      <c r="KBZ31" s="672"/>
      <c r="KCA31" s="672"/>
      <c r="KCB31" s="672"/>
      <c r="KCC31" s="672"/>
      <c r="KCD31" s="672"/>
      <c r="KCE31" s="672"/>
      <c r="KCF31" s="672"/>
      <c r="KCG31" s="672"/>
      <c r="KCH31" s="672"/>
      <c r="KCI31" s="672"/>
      <c r="KCJ31" s="672"/>
      <c r="KCK31" s="672"/>
      <c r="KCL31" s="672"/>
      <c r="KCM31" s="672"/>
      <c r="KCN31" s="672"/>
      <c r="KCO31" s="672"/>
      <c r="KCP31" s="672"/>
      <c r="KCQ31" s="672"/>
      <c r="KCR31" s="672"/>
      <c r="KCS31" s="672"/>
      <c r="KCT31" s="672"/>
      <c r="KCU31" s="672"/>
      <c r="KCV31" s="672"/>
      <c r="KCW31" s="672"/>
      <c r="KCX31" s="672"/>
      <c r="KCY31" s="672"/>
      <c r="KCZ31" s="672"/>
      <c r="KDA31" s="672"/>
      <c r="KDB31" s="672"/>
      <c r="KDC31" s="672"/>
      <c r="KDD31" s="672"/>
      <c r="KDE31" s="672"/>
      <c r="KDF31" s="672"/>
      <c r="KDG31" s="672"/>
      <c r="KDH31" s="672"/>
      <c r="KDI31" s="672"/>
      <c r="KDJ31" s="672"/>
      <c r="KDK31" s="672"/>
      <c r="KDL31" s="672"/>
      <c r="KDM31" s="672"/>
      <c r="KDN31" s="672"/>
      <c r="KDO31" s="672"/>
      <c r="KDP31" s="672"/>
      <c r="KDQ31" s="672"/>
      <c r="KDR31" s="672"/>
      <c r="KDS31" s="672"/>
      <c r="KDT31" s="672"/>
      <c r="KDU31" s="672"/>
      <c r="KDV31" s="672"/>
      <c r="KDW31" s="672"/>
      <c r="KDX31" s="672"/>
      <c r="KDY31" s="672"/>
      <c r="KDZ31" s="672"/>
      <c r="KEA31" s="672"/>
      <c r="KEB31" s="672"/>
      <c r="KEC31" s="672"/>
      <c r="KED31" s="672"/>
      <c r="KEE31" s="672"/>
      <c r="KEF31" s="672"/>
      <c r="KEG31" s="672"/>
      <c r="KEH31" s="672"/>
      <c r="KEI31" s="672"/>
      <c r="KEJ31" s="672"/>
      <c r="KEK31" s="672"/>
      <c r="KEL31" s="672"/>
      <c r="KEM31" s="672"/>
      <c r="KEN31" s="672"/>
      <c r="KEO31" s="672"/>
      <c r="KEP31" s="672"/>
      <c r="KEQ31" s="672"/>
      <c r="KER31" s="672"/>
      <c r="KES31" s="672"/>
      <c r="KET31" s="672"/>
      <c r="KEU31" s="672"/>
      <c r="KEV31" s="672"/>
      <c r="KEW31" s="672"/>
      <c r="KEX31" s="672"/>
      <c r="KEY31" s="672"/>
      <c r="KEZ31" s="672"/>
      <c r="KFA31" s="672"/>
      <c r="KFB31" s="672"/>
      <c r="KFC31" s="672"/>
      <c r="KFD31" s="672"/>
      <c r="KFE31" s="672"/>
      <c r="KFF31" s="672"/>
      <c r="KFG31" s="672"/>
      <c r="KFH31" s="672"/>
      <c r="KFI31" s="672"/>
      <c r="KFJ31" s="672"/>
      <c r="KFK31" s="672"/>
      <c r="KFL31" s="672"/>
      <c r="KFM31" s="672"/>
      <c r="KFN31" s="672"/>
      <c r="KFO31" s="672"/>
      <c r="KFP31" s="672"/>
      <c r="KFQ31" s="672"/>
      <c r="KFR31" s="672"/>
      <c r="KFS31" s="672"/>
      <c r="KFT31" s="672"/>
      <c r="KFU31" s="672"/>
      <c r="KFV31" s="672"/>
      <c r="KFW31" s="672"/>
      <c r="KFX31" s="672"/>
      <c r="KFY31" s="672"/>
      <c r="KFZ31" s="672"/>
      <c r="KGA31" s="672"/>
      <c r="KGB31" s="672"/>
      <c r="KGC31" s="672"/>
      <c r="KGD31" s="672"/>
      <c r="KGE31" s="672"/>
      <c r="KGF31" s="672"/>
      <c r="KGG31" s="672"/>
      <c r="KGH31" s="672"/>
      <c r="KGI31" s="672"/>
      <c r="KGJ31" s="672"/>
      <c r="KGK31" s="672"/>
      <c r="KGL31" s="672"/>
      <c r="KGM31" s="672"/>
      <c r="KGN31" s="672"/>
      <c r="KGO31" s="672"/>
      <c r="KGP31" s="672"/>
      <c r="KGQ31" s="672"/>
      <c r="KGR31" s="672"/>
      <c r="KGS31" s="672"/>
      <c r="KGT31" s="672"/>
      <c r="KGU31" s="672"/>
      <c r="KGV31" s="672"/>
      <c r="KGW31" s="672"/>
      <c r="KGX31" s="672"/>
      <c r="KGY31" s="672"/>
      <c r="KGZ31" s="672"/>
      <c r="KHA31" s="672"/>
      <c r="KHB31" s="672"/>
      <c r="KHC31" s="672"/>
      <c r="KHD31" s="672"/>
      <c r="KHE31" s="672"/>
      <c r="KHF31" s="672"/>
      <c r="KHG31" s="672"/>
      <c r="KHH31" s="672"/>
      <c r="KHI31" s="672"/>
      <c r="KHJ31" s="672"/>
      <c r="KHK31" s="672"/>
      <c r="KHL31" s="672"/>
      <c r="KHM31" s="672"/>
      <c r="KHN31" s="672"/>
      <c r="KHO31" s="672"/>
      <c r="KHP31" s="672"/>
      <c r="KHQ31" s="672"/>
      <c r="KHR31" s="672"/>
      <c r="KHS31" s="672"/>
      <c r="KHT31" s="672"/>
      <c r="KHU31" s="672"/>
      <c r="KHV31" s="672"/>
      <c r="KHW31" s="672"/>
      <c r="KHX31" s="672"/>
      <c r="KHY31" s="672"/>
      <c r="KHZ31" s="672"/>
      <c r="KIA31" s="672"/>
      <c r="KIB31" s="672"/>
      <c r="KIC31" s="672"/>
      <c r="KID31" s="672"/>
      <c r="KIE31" s="672"/>
      <c r="KIF31" s="672"/>
      <c r="KIG31" s="672"/>
      <c r="KIH31" s="672"/>
      <c r="KII31" s="672"/>
      <c r="KIJ31" s="672"/>
      <c r="KIK31" s="672"/>
      <c r="KIL31" s="672"/>
      <c r="KIM31" s="672"/>
      <c r="KIN31" s="672"/>
      <c r="KIO31" s="672"/>
      <c r="KIP31" s="672"/>
      <c r="KIQ31" s="672"/>
      <c r="KIR31" s="672"/>
      <c r="KIS31" s="672"/>
      <c r="KIT31" s="672"/>
      <c r="KIU31" s="672"/>
      <c r="KIV31" s="672"/>
      <c r="KIW31" s="672"/>
      <c r="KIX31" s="672"/>
      <c r="KIY31" s="672"/>
      <c r="KIZ31" s="672"/>
      <c r="KJA31" s="672"/>
      <c r="KJB31" s="672"/>
      <c r="KJC31" s="672"/>
      <c r="KJD31" s="672"/>
      <c r="KJE31" s="672"/>
      <c r="KJF31" s="672"/>
      <c r="KJG31" s="672"/>
      <c r="KJH31" s="672"/>
      <c r="KJI31" s="672"/>
      <c r="KJJ31" s="672"/>
      <c r="KJK31" s="672"/>
      <c r="KJL31" s="672"/>
      <c r="KJM31" s="672"/>
      <c r="KJN31" s="672"/>
      <c r="KJO31" s="672"/>
      <c r="KJP31" s="672"/>
      <c r="KJQ31" s="672"/>
      <c r="KJR31" s="672"/>
      <c r="KJS31" s="672"/>
      <c r="KJT31" s="672"/>
      <c r="KJU31" s="672"/>
      <c r="KJV31" s="672"/>
      <c r="KJW31" s="672"/>
      <c r="KJX31" s="672"/>
      <c r="KJY31" s="672"/>
      <c r="KJZ31" s="672"/>
      <c r="KKA31" s="672"/>
      <c r="KKB31" s="672"/>
      <c r="KKC31" s="672"/>
      <c r="KKD31" s="672"/>
      <c r="KKE31" s="672"/>
      <c r="KKF31" s="672"/>
      <c r="KKG31" s="672"/>
      <c r="KKH31" s="672"/>
      <c r="KKI31" s="672"/>
      <c r="KKJ31" s="672"/>
      <c r="KKK31" s="672"/>
      <c r="KKL31" s="672"/>
      <c r="KKM31" s="672"/>
      <c r="KKN31" s="672"/>
      <c r="KKO31" s="672"/>
      <c r="KKP31" s="672"/>
      <c r="KKQ31" s="672"/>
      <c r="KKR31" s="672"/>
      <c r="KKS31" s="672"/>
      <c r="KKT31" s="672"/>
      <c r="KKU31" s="672"/>
      <c r="KKV31" s="672"/>
      <c r="KKW31" s="672"/>
      <c r="KKX31" s="672"/>
      <c r="KKY31" s="672"/>
      <c r="KKZ31" s="672"/>
      <c r="KLA31" s="672"/>
      <c r="KLB31" s="672"/>
      <c r="KLC31" s="672"/>
      <c r="KLD31" s="672"/>
      <c r="KLE31" s="672"/>
      <c r="KLF31" s="672"/>
      <c r="KLG31" s="672"/>
      <c r="KLH31" s="672"/>
      <c r="KLI31" s="672"/>
      <c r="KLJ31" s="672"/>
      <c r="KLK31" s="672"/>
      <c r="KLL31" s="672"/>
      <c r="KLM31" s="672"/>
      <c r="KLN31" s="672"/>
      <c r="KLO31" s="672"/>
      <c r="KLP31" s="672"/>
      <c r="KLQ31" s="672"/>
      <c r="KLR31" s="672"/>
      <c r="KLS31" s="672"/>
      <c r="KLT31" s="672"/>
      <c r="KLU31" s="672"/>
      <c r="KLV31" s="672"/>
      <c r="KLW31" s="672"/>
      <c r="KLX31" s="672"/>
      <c r="KLY31" s="672"/>
      <c r="KLZ31" s="672"/>
      <c r="KMA31" s="672"/>
      <c r="KMB31" s="672"/>
      <c r="KMC31" s="672"/>
      <c r="KMD31" s="672"/>
      <c r="KME31" s="672"/>
      <c r="KMF31" s="672"/>
      <c r="KMG31" s="672"/>
      <c r="KMH31" s="672"/>
      <c r="KMI31" s="672"/>
      <c r="KMJ31" s="672"/>
      <c r="KMK31" s="672"/>
      <c r="KML31" s="672"/>
      <c r="KMM31" s="672"/>
      <c r="KMN31" s="672"/>
      <c r="KMO31" s="672"/>
      <c r="KMP31" s="672"/>
      <c r="KMQ31" s="672"/>
      <c r="KMR31" s="672"/>
      <c r="KMS31" s="672"/>
      <c r="KMT31" s="672"/>
      <c r="KMU31" s="672"/>
      <c r="KMV31" s="672"/>
      <c r="KMW31" s="672"/>
      <c r="KMX31" s="672"/>
      <c r="KMY31" s="672"/>
      <c r="KMZ31" s="672"/>
      <c r="KNA31" s="672"/>
      <c r="KNB31" s="672"/>
      <c r="KNC31" s="672"/>
      <c r="KND31" s="672"/>
      <c r="KNE31" s="672"/>
      <c r="KNF31" s="672"/>
      <c r="KNG31" s="672"/>
      <c r="KNH31" s="672"/>
      <c r="KNI31" s="672"/>
      <c r="KNJ31" s="672"/>
      <c r="KNK31" s="672"/>
      <c r="KNL31" s="672"/>
      <c r="KNM31" s="672"/>
      <c r="KNN31" s="672"/>
      <c r="KNO31" s="672"/>
      <c r="KNP31" s="672"/>
      <c r="KNQ31" s="672"/>
      <c r="KNR31" s="672"/>
      <c r="KNS31" s="672"/>
      <c r="KNT31" s="672"/>
      <c r="KNU31" s="672"/>
      <c r="KNV31" s="672"/>
      <c r="KNW31" s="672"/>
      <c r="KNX31" s="672"/>
      <c r="KNY31" s="672"/>
      <c r="KNZ31" s="672"/>
      <c r="KOA31" s="672"/>
      <c r="KOB31" s="672"/>
      <c r="KOC31" s="672"/>
      <c r="KOD31" s="672"/>
      <c r="KOE31" s="672"/>
      <c r="KOF31" s="672"/>
      <c r="KOG31" s="672"/>
      <c r="KOH31" s="672"/>
      <c r="KOI31" s="672"/>
      <c r="KOJ31" s="672"/>
      <c r="KOK31" s="672"/>
      <c r="KOL31" s="672"/>
      <c r="KOM31" s="672"/>
      <c r="KON31" s="672"/>
      <c r="KOO31" s="672"/>
      <c r="KOP31" s="672"/>
      <c r="KOQ31" s="672"/>
      <c r="KOR31" s="672"/>
      <c r="KOS31" s="672"/>
      <c r="KOT31" s="672"/>
      <c r="KOU31" s="672"/>
      <c r="KOV31" s="672"/>
      <c r="KOW31" s="672"/>
      <c r="KOX31" s="672"/>
      <c r="KOY31" s="672"/>
      <c r="KOZ31" s="672"/>
      <c r="KPA31" s="672"/>
      <c r="KPB31" s="672"/>
      <c r="KPC31" s="672"/>
      <c r="KPD31" s="672"/>
      <c r="KPE31" s="672"/>
      <c r="KPF31" s="672"/>
      <c r="KPG31" s="672"/>
      <c r="KPH31" s="672"/>
      <c r="KPI31" s="672"/>
      <c r="KPJ31" s="672"/>
      <c r="KPK31" s="672"/>
      <c r="KPL31" s="672"/>
      <c r="KPM31" s="672"/>
      <c r="KPN31" s="672"/>
      <c r="KPO31" s="672"/>
      <c r="KPP31" s="672"/>
      <c r="KPQ31" s="672"/>
      <c r="KPR31" s="672"/>
      <c r="KPS31" s="672"/>
      <c r="KPT31" s="672"/>
      <c r="KPU31" s="672"/>
      <c r="KPV31" s="672"/>
      <c r="KPW31" s="672"/>
      <c r="KPX31" s="672"/>
      <c r="KPY31" s="672"/>
      <c r="KPZ31" s="672"/>
      <c r="KQA31" s="672"/>
      <c r="KQB31" s="672"/>
      <c r="KQC31" s="672"/>
      <c r="KQD31" s="672"/>
      <c r="KQE31" s="672"/>
      <c r="KQF31" s="672"/>
      <c r="KQG31" s="672"/>
      <c r="KQH31" s="672"/>
      <c r="KQI31" s="672"/>
      <c r="KQJ31" s="672"/>
      <c r="KQK31" s="672"/>
      <c r="KQL31" s="672"/>
      <c r="KQM31" s="672"/>
      <c r="KQN31" s="672"/>
      <c r="KQO31" s="672"/>
      <c r="KQP31" s="672"/>
      <c r="KQQ31" s="672"/>
      <c r="KQR31" s="672"/>
      <c r="KQS31" s="672"/>
      <c r="KQT31" s="672"/>
      <c r="KQU31" s="672"/>
      <c r="KQV31" s="672"/>
      <c r="KQW31" s="672"/>
      <c r="KQX31" s="672"/>
      <c r="KQY31" s="672"/>
      <c r="KQZ31" s="672"/>
      <c r="KRA31" s="672"/>
      <c r="KRB31" s="672"/>
      <c r="KRC31" s="672"/>
      <c r="KRD31" s="672"/>
      <c r="KRE31" s="672"/>
      <c r="KRF31" s="672"/>
      <c r="KRG31" s="672"/>
      <c r="KRH31" s="672"/>
      <c r="KRI31" s="672"/>
      <c r="KRJ31" s="672"/>
      <c r="KRK31" s="672"/>
      <c r="KRL31" s="672"/>
      <c r="KRM31" s="672"/>
      <c r="KRN31" s="672"/>
      <c r="KRO31" s="672"/>
      <c r="KRP31" s="672"/>
      <c r="KRQ31" s="672"/>
      <c r="KRR31" s="672"/>
      <c r="KRS31" s="672"/>
      <c r="KRT31" s="672"/>
      <c r="KRU31" s="672"/>
      <c r="KRV31" s="672"/>
      <c r="KRW31" s="672"/>
      <c r="KRX31" s="672"/>
      <c r="KRY31" s="672"/>
      <c r="KRZ31" s="672"/>
      <c r="KSA31" s="672"/>
      <c r="KSB31" s="672"/>
      <c r="KSC31" s="672"/>
      <c r="KSD31" s="672"/>
      <c r="KSE31" s="672"/>
      <c r="KSF31" s="672"/>
      <c r="KSG31" s="672"/>
      <c r="KSH31" s="672"/>
      <c r="KSI31" s="672"/>
      <c r="KSJ31" s="672"/>
      <c r="KSK31" s="672"/>
      <c r="KSL31" s="672"/>
      <c r="KSM31" s="672"/>
      <c r="KSN31" s="672"/>
      <c r="KSO31" s="672"/>
      <c r="KSP31" s="672"/>
      <c r="KSQ31" s="672"/>
      <c r="KSR31" s="672"/>
      <c r="KSS31" s="672"/>
      <c r="KST31" s="672"/>
      <c r="KSU31" s="672"/>
      <c r="KSV31" s="672"/>
      <c r="KSW31" s="672"/>
      <c r="KSX31" s="672"/>
      <c r="KSY31" s="672"/>
      <c r="KSZ31" s="672"/>
      <c r="KTA31" s="672"/>
      <c r="KTB31" s="672"/>
      <c r="KTC31" s="672"/>
      <c r="KTD31" s="672"/>
      <c r="KTE31" s="672"/>
      <c r="KTF31" s="672"/>
      <c r="KTG31" s="672"/>
      <c r="KTH31" s="672"/>
      <c r="KTI31" s="672"/>
      <c r="KTJ31" s="672"/>
      <c r="KTK31" s="672"/>
      <c r="KTL31" s="672"/>
      <c r="KTM31" s="672"/>
      <c r="KTN31" s="672"/>
      <c r="KTO31" s="672"/>
      <c r="KTP31" s="672"/>
      <c r="KTQ31" s="672"/>
      <c r="KTR31" s="672"/>
      <c r="KTS31" s="672"/>
      <c r="KTT31" s="672"/>
      <c r="KTU31" s="672"/>
      <c r="KTV31" s="672"/>
      <c r="KTW31" s="672"/>
      <c r="KTX31" s="672"/>
      <c r="KTY31" s="672"/>
      <c r="KTZ31" s="672"/>
      <c r="KUA31" s="672"/>
      <c r="KUB31" s="672"/>
      <c r="KUC31" s="672"/>
      <c r="KUD31" s="672"/>
      <c r="KUE31" s="672"/>
      <c r="KUF31" s="672"/>
      <c r="KUG31" s="672"/>
      <c r="KUH31" s="672"/>
      <c r="KUI31" s="672"/>
      <c r="KUJ31" s="672"/>
      <c r="KUK31" s="672"/>
      <c r="KUL31" s="672"/>
      <c r="KUM31" s="672"/>
      <c r="KUN31" s="672"/>
      <c r="KUO31" s="672"/>
      <c r="KUP31" s="672"/>
      <c r="KUQ31" s="672"/>
      <c r="KUR31" s="672"/>
      <c r="KUS31" s="672"/>
      <c r="KUT31" s="672"/>
      <c r="KUU31" s="672"/>
      <c r="KUV31" s="672"/>
      <c r="KUW31" s="672"/>
      <c r="KUX31" s="672"/>
      <c r="KUY31" s="672"/>
      <c r="KUZ31" s="672"/>
      <c r="KVA31" s="672"/>
      <c r="KVB31" s="672"/>
      <c r="KVC31" s="672"/>
      <c r="KVD31" s="672"/>
      <c r="KVE31" s="672"/>
      <c r="KVF31" s="672"/>
      <c r="KVG31" s="672"/>
      <c r="KVH31" s="672"/>
      <c r="KVI31" s="672"/>
      <c r="KVJ31" s="672"/>
      <c r="KVK31" s="672"/>
      <c r="KVL31" s="672"/>
      <c r="KVM31" s="672"/>
      <c r="KVN31" s="672"/>
      <c r="KVO31" s="672"/>
      <c r="KVP31" s="672"/>
      <c r="KVQ31" s="672"/>
      <c r="KVR31" s="672"/>
      <c r="KVS31" s="672"/>
      <c r="KVT31" s="672"/>
      <c r="KVU31" s="672"/>
      <c r="KVV31" s="672"/>
      <c r="KVW31" s="672"/>
      <c r="KVX31" s="672"/>
      <c r="KVY31" s="672"/>
      <c r="KVZ31" s="672"/>
      <c r="KWA31" s="672"/>
      <c r="KWB31" s="672"/>
      <c r="KWC31" s="672"/>
      <c r="KWD31" s="672"/>
      <c r="KWE31" s="672"/>
      <c r="KWF31" s="672"/>
      <c r="KWG31" s="672"/>
      <c r="KWH31" s="672"/>
      <c r="KWI31" s="672"/>
      <c r="KWJ31" s="672"/>
      <c r="KWK31" s="672"/>
      <c r="KWL31" s="672"/>
      <c r="KWM31" s="672"/>
      <c r="KWN31" s="672"/>
      <c r="KWO31" s="672"/>
      <c r="KWP31" s="672"/>
      <c r="KWQ31" s="672"/>
      <c r="KWR31" s="672"/>
      <c r="KWS31" s="672"/>
      <c r="KWT31" s="672"/>
      <c r="KWU31" s="672"/>
      <c r="KWV31" s="672"/>
      <c r="KWW31" s="672"/>
      <c r="KWX31" s="672"/>
      <c r="KWY31" s="672"/>
      <c r="KWZ31" s="672"/>
      <c r="KXA31" s="672"/>
      <c r="KXB31" s="672"/>
      <c r="KXC31" s="672"/>
      <c r="KXD31" s="672"/>
      <c r="KXE31" s="672"/>
      <c r="KXF31" s="672"/>
      <c r="KXG31" s="672"/>
      <c r="KXH31" s="672"/>
      <c r="KXI31" s="672"/>
      <c r="KXJ31" s="672"/>
      <c r="KXK31" s="672"/>
      <c r="KXL31" s="672"/>
      <c r="KXM31" s="672"/>
      <c r="KXN31" s="672"/>
      <c r="KXO31" s="672"/>
      <c r="KXP31" s="672"/>
      <c r="KXQ31" s="672"/>
      <c r="KXR31" s="672"/>
      <c r="KXS31" s="672"/>
      <c r="KXT31" s="672"/>
      <c r="KXU31" s="672"/>
      <c r="KXV31" s="672"/>
      <c r="KXW31" s="672"/>
      <c r="KXX31" s="672"/>
      <c r="KXY31" s="672"/>
      <c r="KXZ31" s="672"/>
      <c r="KYA31" s="672"/>
      <c r="KYB31" s="672"/>
      <c r="KYC31" s="672"/>
      <c r="KYD31" s="672"/>
      <c r="KYE31" s="672"/>
      <c r="KYF31" s="672"/>
      <c r="KYG31" s="672"/>
      <c r="KYH31" s="672"/>
      <c r="KYI31" s="672"/>
      <c r="KYJ31" s="672"/>
      <c r="KYK31" s="672"/>
      <c r="KYL31" s="672"/>
      <c r="KYM31" s="672"/>
      <c r="KYN31" s="672"/>
      <c r="KYO31" s="672"/>
      <c r="KYP31" s="672"/>
      <c r="KYQ31" s="672"/>
      <c r="KYR31" s="672"/>
      <c r="KYS31" s="672"/>
      <c r="KYT31" s="672"/>
      <c r="KYU31" s="672"/>
      <c r="KYV31" s="672"/>
      <c r="KYW31" s="672"/>
      <c r="KYX31" s="672"/>
      <c r="KYY31" s="672"/>
      <c r="KYZ31" s="672"/>
      <c r="KZA31" s="672"/>
      <c r="KZB31" s="672"/>
      <c r="KZC31" s="672"/>
      <c r="KZD31" s="672"/>
      <c r="KZE31" s="672"/>
      <c r="KZF31" s="672"/>
      <c r="KZG31" s="672"/>
      <c r="KZH31" s="672"/>
      <c r="KZI31" s="672"/>
      <c r="KZJ31" s="672"/>
      <c r="KZK31" s="672"/>
      <c r="KZL31" s="672"/>
      <c r="KZM31" s="672"/>
      <c r="KZN31" s="672"/>
      <c r="KZO31" s="672"/>
      <c r="KZP31" s="672"/>
      <c r="KZQ31" s="672"/>
      <c r="KZR31" s="672"/>
      <c r="KZS31" s="672"/>
      <c r="KZT31" s="672"/>
      <c r="KZU31" s="672"/>
      <c r="KZV31" s="672"/>
      <c r="KZW31" s="672"/>
      <c r="KZX31" s="672"/>
      <c r="KZY31" s="672"/>
      <c r="KZZ31" s="672"/>
      <c r="LAA31" s="672"/>
      <c r="LAB31" s="672"/>
      <c r="LAC31" s="672"/>
      <c r="LAD31" s="672"/>
      <c r="LAE31" s="672"/>
      <c r="LAF31" s="672"/>
      <c r="LAG31" s="672"/>
      <c r="LAH31" s="672"/>
      <c r="LAI31" s="672"/>
      <c r="LAJ31" s="672"/>
      <c r="LAK31" s="672"/>
      <c r="LAL31" s="672"/>
      <c r="LAM31" s="672"/>
      <c r="LAN31" s="672"/>
      <c r="LAO31" s="672"/>
      <c r="LAP31" s="672"/>
      <c r="LAQ31" s="672"/>
      <c r="LAR31" s="672"/>
      <c r="LAS31" s="672"/>
      <c r="LAT31" s="672"/>
      <c r="LAU31" s="672"/>
      <c r="LAV31" s="672"/>
      <c r="LAW31" s="672"/>
      <c r="LAX31" s="672"/>
      <c r="LAY31" s="672"/>
      <c r="LAZ31" s="672"/>
      <c r="LBA31" s="672"/>
      <c r="LBB31" s="672"/>
      <c r="LBC31" s="672"/>
      <c r="LBD31" s="672"/>
      <c r="LBE31" s="672"/>
      <c r="LBF31" s="672"/>
      <c r="LBG31" s="672"/>
      <c r="LBH31" s="672"/>
      <c r="LBI31" s="672"/>
      <c r="LBJ31" s="672"/>
      <c r="LBK31" s="672"/>
      <c r="LBL31" s="672"/>
      <c r="LBM31" s="672"/>
      <c r="LBN31" s="672"/>
      <c r="LBO31" s="672"/>
      <c r="LBP31" s="672"/>
      <c r="LBQ31" s="672"/>
      <c r="LBR31" s="672"/>
      <c r="LBS31" s="672"/>
      <c r="LBT31" s="672"/>
      <c r="LBU31" s="672"/>
      <c r="LBV31" s="672"/>
      <c r="LBW31" s="672"/>
      <c r="LBX31" s="672"/>
      <c r="LBY31" s="672"/>
      <c r="LBZ31" s="672"/>
      <c r="LCA31" s="672"/>
      <c r="LCB31" s="672"/>
      <c r="LCC31" s="672"/>
      <c r="LCD31" s="672"/>
      <c r="LCE31" s="672"/>
      <c r="LCF31" s="672"/>
      <c r="LCG31" s="672"/>
      <c r="LCH31" s="672"/>
      <c r="LCI31" s="672"/>
      <c r="LCJ31" s="672"/>
      <c r="LCK31" s="672"/>
      <c r="LCL31" s="672"/>
      <c r="LCM31" s="672"/>
      <c r="LCN31" s="672"/>
      <c r="LCO31" s="672"/>
      <c r="LCP31" s="672"/>
      <c r="LCQ31" s="672"/>
      <c r="LCR31" s="672"/>
      <c r="LCS31" s="672"/>
      <c r="LCT31" s="672"/>
      <c r="LCU31" s="672"/>
      <c r="LCV31" s="672"/>
      <c r="LCW31" s="672"/>
      <c r="LCX31" s="672"/>
      <c r="LCY31" s="672"/>
      <c r="LCZ31" s="672"/>
      <c r="LDA31" s="672"/>
      <c r="LDB31" s="672"/>
      <c r="LDC31" s="672"/>
      <c r="LDD31" s="672"/>
      <c r="LDE31" s="672"/>
      <c r="LDF31" s="672"/>
      <c r="LDG31" s="672"/>
      <c r="LDH31" s="672"/>
      <c r="LDI31" s="672"/>
      <c r="LDJ31" s="672"/>
      <c r="LDK31" s="672"/>
      <c r="LDL31" s="672"/>
      <c r="LDM31" s="672"/>
      <c r="LDN31" s="672"/>
      <c r="LDO31" s="672"/>
      <c r="LDP31" s="672"/>
      <c r="LDQ31" s="672"/>
      <c r="LDR31" s="672"/>
      <c r="LDS31" s="672"/>
      <c r="LDT31" s="672"/>
      <c r="LDU31" s="672"/>
      <c r="LDV31" s="672"/>
      <c r="LDW31" s="672"/>
      <c r="LDX31" s="672"/>
      <c r="LDY31" s="672"/>
      <c r="LDZ31" s="672"/>
      <c r="LEA31" s="672"/>
      <c r="LEB31" s="672"/>
      <c r="LEC31" s="672"/>
      <c r="LED31" s="672"/>
      <c r="LEE31" s="672"/>
      <c r="LEF31" s="672"/>
      <c r="LEG31" s="672"/>
      <c r="LEH31" s="672"/>
      <c r="LEI31" s="672"/>
      <c r="LEJ31" s="672"/>
      <c r="LEK31" s="672"/>
      <c r="LEL31" s="672"/>
      <c r="LEM31" s="672"/>
      <c r="LEN31" s="672"/>
      <c r="LEO31" s="672"/>
      <c r="LEP31" s="672"/>
      <c r="LEQ31" s="672"/>
      <c r="LER31" s="672"/>
      <c r="LES31" s="672"/>
      <c r="LET31" s="672"/>
      <c r="LEU31" s="672"/>
      <c r="LEV31" s="672"/>
      <c r="LEW31" s="672"/>
      <c r="LEX31" s="672"/>
      <c r="LEY31" s="672"/>
      <c r="LEZ31" s="672"/>
      <c r="LFA31" s="672"/>
      <c r="LFB31" s="672"/>
      <c r="LFC31" s="672"/>
      <c r="LFD31" s="672"/>
      <c r="LFE31" s="672"/>
      <c r="LFF31" s="672"/>
      <c r="LFG31" s="672"/>
      <c r="LFH31" s="672"/>
      <c r="LFI31" s="672"/>
      <c r="LFJ31" s="672"/>
      <c r="LFK31" s="672"/>
      <c r="LFL31" s="672"/>
      <c r="LFM31" s="672"/>
      <c r="LFN31" s="672"/>
      <c r="LFO31" s="672"/>
      <c r="LFP31" s="672"/>
      <c r="LFQ31" s="672"/>
      <c r="LFR31" s="672"/>
      <c r="LFS31" s="672"/>
      <c r="LFT31" s="672"/>
      <c r="LFU31" s="672"/>
      <c r="LFV31" s="672"/>
      <c r="LFW31" s="672"/>
      <c r="LFX31" s="672"/>
      <c r="LFY31" s="672"/>
      <c r="LFZ31" s="672"/>
      <c r="LGA31" s="672"/>
      <c r="LGB31" s="672"/>
      <c r="LGC31" s="672"/>
      <c r="LGD31" s="672"/>
      <c r="LGE31" s="672"/>
      <c r="LGF31" s="672"/>
      <c r="LGG31" s="672"/>
      <c r="LGH31" s="672"/>
      <c r="LGI31" s="672"/>
      <c r="LGJ31" s="672"/>
      <c r="LGK31" s="672"/>
      <c r="LGL31" s="672"/>
      <c r="LGM31" s="672"/>
      <c r="LGN31" s="672"/>
      <c r="LGO31" s="672"/>
      <c r="LGP31" s="672"/>
      <c r="LGQ31" s="672"/>
      <c r="LGR31" s="672"/>
      <c r="LGS31" s="672"/>
      <c r="LGT31" s="672"/>
      <c r="LGU31" s="672"/>
      <c r="LGV31" s="672"/>
      <c r="LGW31" s="672"/>
      <c r="LGX31" s="672"/>
      <c r="LGY31" s="672"/>
      <c r="LGZ31" s="672"/>
      <c r="LHA31" s="672"/>
      <c r="LHB31" s="672"/>
      <c r="LHC31" s="672"/>
      <c r="LHD31" s="672"/>
      <c r="LHE31" s="672"/>
      <c r="LHF31" s="672"/>
      <c r="LHG31" s="672"/>
      <c r="LHH31" s="672"/>
      <c r="LHI31" s="672"/>
      <c r="LHJ31" s="672"/>
      <c r="LHK31" s="672"/>
      <c r="LHL31" s="672"/>
      <c r="LHM31" s="672"/>
      <c r="LHN31" s="672"/>
      <c r="LHO31" s="672"/>
      <c r="LHP31" s="672"/>
      <c r="LHQ31" s="672"/>
      <c r="LHR31" s="672"/>
      <c r="LHS31" s="672"/>
      <c r="LHT31" s="672"/>
      <c r="LHU31" s="672"/>
      <c r="LHV31" s="672"/>
      <c r="LHW31" s="672"/>
      <c r="LHX31" s="672"/>
      <c r="LHY31" s="672"/>
      <c r="LHZ31" s="672"/>
      <c r="LIA31" s="672"/>
      <c r="LIB31" s="672"/>
      <c r="LIC31" s="672"/>
      <c r="LID31" s="672"/>
      <c r="LIE31" s="672"/>
      <c r="LIF31" s="672"/>
      <c r="LIG31" s="672"/>
      <c r="LIH31" s="672"/>
      <c r="LII31" s="672"/>
      <c r="LIJ31" s="672"/>
      <c r="LIK31" s="672"/>
      <c r="LIL31" s="672"/>
      <c r="LIM31" s="672"/>
      <c r="LIN31" s="672"/>
      <c r="LIO31" s="672"/>
      <c r="LIP31" s="672"/>
      <c r="LIQ31" s="672"/>
      <c r="LIR31" s="672"/>
      <c r="LIS31" s="672"/>
      <c r="LIT31" s="672"/>
      <c r="LIU31" s="672"/>
      <c r="LIV31" s="672"/>
      <c r="LIW31" s="672"/>
      <c r="LIX31" s="672"/>
      <c r="LIY31" s="672"/>
      <c r="LIZ31" s="672"/>
      <c r="LJA31" s="672"/>
      <c r="LJB31" s="672"/>
      <c r="LJC31" s="672"/>
      <c r="LJD31" s="672"/>
      <c r="LJE31" s="672"/>
      <c r="LJF31" s="672"/>
      <c r="LJG31" s="672"/>
      <c r="LJH31" s="672"/>
      <c r="LJI31" s="672"/>
      <c r="LJJ31" s="672"/>
      <c r="LJK31" s="672"/>
      <c r="LJL31" s="672"/>
      <c r="LJM31" s="672"/>
      <c r="LJN31" s="672"/>
      <c r="LJO31" s="672"/>
      <c r="LJP31" s="672"/>
      <c r="LJQ31" s="672"/>
      <c r="LJR31" s="672"/>
      <c r="LJS31" s="672"/>
      <c r="LJT31" s="672"/>
      <c r="LJU31" s="672"/>
      <c r="LJV31" s="672"/>
      <c r="LJW31" s="672"/>
      <c r="LJX31" s="672"/>
      <c r="LJY31" s="672"/>
      <c r="LJZ31" s="672"/>
      <c r="LKA31" s="672"/>
      <c r="LKB31" s="672"/>
      <c r="LKC31" s="672"/>
      <c r="LKD31" s="672"/>
      <c r="LKE31" s="672"/>
      <c r="LKF31" s="672"/>
      <c r="LKG31" s="672"/>
      <c r="LKH31" s="672"/>
      <c r="LKI31" s="672"/>
      <c r="LKJ31" s="672"/>
      <c r="LKK31" s="672"/>
      <c r="LKL31" s="672"/>
      <c r="LKM31" s="672"/>
      <c r="LKN31" s="672"/>
      <c r="LKO31" s="672"/>
      <c r="LKP31" s="672"/>
      <c r="LKQ31" s="672"/>
      <c r="LKR31" s="672"/>
      <c r="LKS31" s="672"/>
      <c r="LKT31" s="672"/>
      <c r="LKU31" s="672"/>
      <c r="LKV31" s="672"/>
      <c r="LKW31" s="672"/>
      <c r="LKX31" s="672"/>
      <c r="LKY31" s="672"/>
      <c r="LKZ31" s="672"/>
      <c r="LLA31" s="672"/>
      <c r="LLB31" s="672"/>
      <c r="LLC31" s="672"/>
      <c r="LLD31" s="672"/>
      <c r="LLE31" s="672"/>
      <c r="LLF31" s="672"/>
      <c r="LLG31" s="672"/>
      <c r="LLH31" s="672"/>
      <c r="LLI31" s="672"/>
      <c r="LLJ31" s="672"/>
      <c r="LLK31" s="672"/>
      <c r="LLL31" s="672"/>
      <c r="LLM31" s="672"/>
      <c r="LLN31" s="672"/>
      <c r="LLO31" s="672"/>
      <c r="LLP31" s="672"/>
      <c r="LLQ31" s="672"/>
      <c r="LLR31" s="672"/>
      <c r="LLS31" s="672"/>
      <c r="LLT31" s="672"/>
      <c r="LLU31" s="672"/>
      <c r="LLV31" s="672"/>
      <c r="LLW31" s="672"/>
      <c r="LLX31" s="672"/>
      <c r="LLY31" s="672"/>
      <c r="LLZ31" s="672"/>
      <c r="LMA31" s="672"/>
      <c r="LMB31" s="672"/>
      <c r="LMC31" s="672"/>
      <c r="LMD31" s="672"/>
      <c r="LME31" s="672"/>
      <c r="LMF31" s="672"/>
      <c r="LMG31" s="672"/>
      <c r="LMH31" s="672"/>
      <c r="LMI31" s="672"/>
      <c r="LMJ31" s="672"/>
      <c r="LMK31" s="672"/>
      <c r="LML31" s="672"/>
      <c r="LMM31" s="672"/>
      <c r="LMN31" s="672"/>
      <c r="LMO31" s="672"/>
      <c r="LMP31" s="672"/>
      <c r="LMQ31" s="672"/>
      <c r="LMR31" s="672"/>
      <c r="LMS31" s="672"/>
      <c r="LMT31" s="672"/>
      <c r="LMU31" s="672"/>
      <c r="LMV31" s="672"/>
      <c r="LMW31" s="672"/>
      <c r="LMX31" s="672"/>
      <c r="LMY31" s="672"/>
      <c r="LMZ31" s="672"/>
      <c r="LNA31" s="672"/>
      <c r="LNB31" s="672"/>
      <c r="LNC31" s="672"/>
      <c r="LND31" s="672"/>
      <c r="LNE31" s="672"/>
      <c r="LNF31" s="672"/>
      <c r="LNG31" s="672"/>
      <c r="LNH31" s="672"/>
      <c r="LNI31" s="672"/>
      <c r="LNJ31" s="672"/>
      <c r="LNK31" s="672"/>
      <c r="LNL31" s="672"/>
      <c r="LNM31" s="672"/>
      <c r="LNN31" s="672"/>
      <c r="LNO31" s="672"/>
      <c r="LNP31" s="672"/>
      <c r="LNQ31" s="672"/>
      <c r="LNR31" s="672"/>
      <c r="LNS31" s="672"/>
      <c r="LNT31" s="672"/>
      <c r="LNU31" s="672"/>
      <c r="LNV31" s="672"/>
      <c r="LNW31" s="672"/>
      <c r="LNX31" s="672"/>
      <c r="LNY31" s="672"/>
      <c r="LNZ31" s="672"/>
      <c r="LOA31" s="672"/>
      <c r="LOB31" s="672"/>
      <c r="LOC31" s="672"/>
      <c r="LOD31" s="672"/>
      <c r="LOE31" s="672"/>
      <c r="LOF31" s="672"/>
      <c r="LOG31" s="672"/>
      <c r="LOH31" s="672"/>
      <c r="LOI31" s="672"/>
      <c r="LOJ31" s="672"/>
      <c r="LOK31" s="672"/>
      <c r="LOL31" s="672"/>
      <c r="LOM31" s="672"/>
      <c r="LON31" s="672"/>
      <c r="LOO31" s="672"/>
      <c r="LOP31" s="672"/>
      <c r="LOQ31" s="672"/>
      <c r="LOR31" s="672"/>
      <c r="LOS31" s="672"/>
      <c r="LOT31" s="672"/>
      <c r="LOU31" s="672"/>
      <c r="LOV31" s="672"/>
      <c r="LOW31" s="672"/>
      <c r="LOX31" s="672"/>
      <c r="LOY31" s="672"/>
      <c r="LOZ31" s="672"/>
      <c r="LPA31" s="672"/>
      <c r="LPB31" s="672"/>
      <c r="LPC31" s="672"/>
      <c r="LPD31" s="672"/>
      <c r="LPE31" s="672"/>
      <c r="LPF31" s="672"/>
      <c r="LPG31" s="672"/>
      <c r="LPH31" s="672"/>
      <c r="LPI31" s="672"/>
      <c r="LPJ31" s="672"/>
      <c r="LPK31" s="672"/>
      <c r="LPL31" s="672"/>
      <c r="LPM31" s="672"/>
      <c r="LPN31" s="672"/>
      <c r="LPO31" s="672"/>
      <c r="LPP31" s="672"/>
      <c r="LPQ31" s="672"/>
      <c r="LPR31" s="672"/>
      <c r="LPS31" s="672"/>
      <c r="LPT31" s="672"/>
      <c r="LPU31" s="672"/>
      <c r="LPV31" s="672"/>
      <c r="LPW31" s="672"/>
      <c r="LPX31" s="672"/>
      <c r="LPY31" s="672"/>
      <c r="LPZ31" s="672"/>
      <c r="LQA31" s="672"/>
      <c r="LQB31" s="672"/>
      <c r="LQC31" s="672"/>
      <c r="LQD31" s="672"/>
      <c r="LQE31" s="672"/>
      <c r="LQF31" s="672"/>
      <c r="LQG31" s="672"/>
      <c r="LQH31" s="672"/>
      <c r="LQI31" s="672"/>
      <c r="LQJ31" s="672"/>
      <c r="LQK31" s="672"/>
      <c r="LQL31" s="672"/>
      <c r="LQM31" s="672"/>
      <c r="LQN31" s="672"/>
      <c r="LQO31" s="672"/>
      <c r="LQP31" s="672"/>
      <c r="LQQ31" s="672"/>
      <c r="LQR31" s="672"/>
      <c r="LQS31" s="672"/>
      <c r="LQT31" s="672"/>
      <c r="LQU31" s="672"/>
      <c r="LQV31" s="672"/>
      <c r="LQW31" s="672"/>
      <c r="LQX31" s="672"/>
      <c r="LQY31" s="672"/>
      <c r="LQZ31" s="672"/>
      <c r="LRA31" s="672"/>
      <c r="LRB31" s="672"/>
      <c r="LRC31" s="672"/>
      <c r="LRD31" s="672"/>
      <c r="LRE31" s="672"/>
      <c r="LRF31" s="672"/>
      <c r="LRG31" s="672"/>
      <c r="LRH31" s="672"/>
      <c r="LRI31" s="672"/>
      <c r="LRJ31" s="672"/>
      <c r="LRK31" s="672"/>
      <c r="LRL31" s="672"/>
      <c r="LRM31" s="672"/>
      <c r="LRN31" s="672"/>
      <c r="LRO31" s="672"/>
      <c r="LRP31" s="672"/>
      <c r="LRQ31" s="672"/>
      <c r="LRR31" s="672"/>
      <c r="LRS31" s="672"/>
      <c r="LRT31" s="672"/>
      <c r="LRU31" s="672"/>
      <c r="LRV31" s="672"/>
      <c r="LRW31" s="672"/>
      <c r="LRX31" s="672"/>
      <c r="LRY31" s="672"/>
      <c r="LRZ31" s="672"/>
      <c r="LSA31" s="672"/>
      <c r="LSB31" s="672"/>
      <c r="LSC31" s="672"/>
      <c r="LSD31" s="672"/>
      <c r="LSE31" s="672"/>
      <c r="LSF31" s="672"/>
      <c r="LSG31" s="672"/>
      <c r="LSH31" s="672"/>
      <c r="LSI31" s="672"/>
      <c r="LSJ31" s="672"/>
      <c r="LSK31" s="672"/>
      <c r="LSL31" s="672"/>
      <c r="LSM31" s="672"/>
      <c r="LSN31" s="672"/>
      <c r="LSO31" s="672"/>
      <c r="LSP31" s="672"/>
      <c r="LSQ31" s="672"/>
      <c r="LSR31" s="672"/>
      <c r="LSS31" s="672"/>
      <c r="LST31" s="672"/>
      <c r="LSU31" s="672"/>
      <c r="LSV31" s="672"/>
      <c r="LSW31" s="672"/>
      <c r="LSX31" s="672"/>
      <c r="LSY31" s="672"/>
      <c r="LSZ31" s="672"/>
      <c r="LTA31" s="672"/>
      <c r="LTB31" s="672"/>
      <c r="LTC31" s="672"/>
      <c r="LTD31" s="672"/>
      <c r="LTE31" s="672"/>
      <c r="LTF31" s="672"/>
      <c r="LTG31" s="672"/>
      <c r="LTH31" s="672"/>
      <c r="LTI31" s="672"/>
      <c r="LTJ31" s="672"/>
      <c r="LTK31" s="672"/>
      <c r="LTL31" s="672"/>
      <c r="LTM31" s="672"/>
      <c r="LTN31" s="672"/>
      <c r="LTO31" s="672"/>
      <c r="LTP31" s="672"/>
      <c r="LTQ31" s="672"/>
      <c r="LTR31" s="672"/>
      <c r="LTS31" s="672"/>
      <c r="LTT31" s="672"/>
      <c r="LTU31" s="672"/>
      <c r="LTV31" s="672"/>
      <c r="LTW31" s="672"/>
      <c r="LTX31" s="672"/>
      <c r="LTY31" s="672"/>
      <c r="LTZ31" s="672"/>
      <c r="LUA31" s="672"/>
      <c r="LUB31" s="672"/>
      <c r="LUC31" s="672"/>
      <c r="LUD31" s="672"/>
      <c r="LUE31" s="672"/>
      <c r="LUF31" s="672"/>
      <c r="LUG31" s="672"/>
      <c r="LUH31" s="672"/>
      <c r="LUI31" s="672"/>
      <c r="LUJ31" s="672"/>
      <c r="LUK31" s="672"/>
      <c r="LUL31" s="672"/>
      <c r="LUM31" s="672"/>
      <c r="LUN31" s="672"/>
      <c r="LUO31" s="672"/>
      <c r="LUP31" s="672"/>
      <c r="LUQ31" s="672"/>
      <c r="LUR31" s="672"/>
      <c r="LUS31" s="672"/>
      <c r="LUT31" s="672"/>
      <c r="LUU31" s="672"/>
      <c r="LUV31" s="672"/>
      <c r="LUW31" s="672"/>
      <c r="LUX31" s="672"/>
      <c r="LUY31" s="672"/>
      <c r="LUZ31" s="672"/>
      <c r="LVA31" s="672"/>
      <c r="LVB31" s="672"/>
      <c r="LVC31" s="672"/>
      <c r="LVD31" s="672"/>
      <c r="LVE31" s="672"/>
      <c r="LVF31" s="672"/>
      <c r="LVG31" s="672"/>
      <c r="LVH31" s="672"/>
      <c r="LVI31" s="672"/>
      <c r="LVJ31" s="672"/>
      <c r="LVK31" s="672"/>
      <c r="LVL31" s="672"/>
      <c r="LVM31" s="672"/>
      <c r="LVN31" s="672"/>
      <c r="LVO31" s="672"/>
      <c r="LVP31" s="672"/>
      <c r="LVQ31" s="672"/>
      <c r="LVR31" s="672"/>
      <c r="LVS31" s="672"/>
      <c r="LVT31" s="672"/>
      <c r="LVU31" s="672"/>
      <c r="LVV31" s="672"/>
      <c r="LVW31" s="672"/>
      <c r="LVX31" s="672"/>
      <c r="LVY31" s="672"/>
      <c r="LVZ31" s="672"/>
      <c r="LWA31" s="672"/>
      <c r="LWB31" s="672"/>
      <c r="LWC31" s="672"/>
      <c r="LWD31" s="672"/>
      <c r="LWE31" s="672"/>
      <c r="LWF31" s="672"/>
      <c r="LWG31" s="672"/>
      <c r="LWH31" s="672"/>
      <c r="LWI31" s="672"/>
      <c r="LWJ31" s="672"/>
      <c r="LWK31" s="672"/>
      <c r="LWL31" s="672"/>
      <c r="LWM31" s="672"/>
      <c r="LWN31" s="672"/>
      <c r="LWO31" s="672"/>
      <c r="LWP31" s="672"/>
      <c r="LWQ31" s="672"/>
      <c r="LWR31" s="672"/>
      <c r="LWS31" s="672"/>
      <c r="LWT31" s="672"/>
      <c r="LWU31" s="672"/>
      <c r="LWV31" s="672"/>
      <c r="LWW31" s="672"/>
      <c r="LWX31" s="672"/>
      <c r="LWY31" s="672"/>
      <c r="LWZ31" s="672"/>
      <c r="LXA31" s="672"/>
      <c r="LXB31" s="672"/>
      <c r="LXC31" s="672"/>
      <c r="LXD31" s="672"/>
      <c r="LXE31" s="672"/>
      <c r="LXF31" s="672"/>
      <c r="LXG31" s="672"/>
      <c r="LXH31" s="672"/>
      <c r="LXI31" s="672"/>
      <c r="LXJ31" s="672"/>
      <c r="LXK31" s="672"/>
      <c r="LXL31" s="672"/>
      <c r="LXM31" s="672"/>
      <c r="LXN31" s="672"/>
      <c r="LXO31" s="672"/>
      <c r="LXP31" s="672"/>
      <c r="LXQ31" s="672"/>
      <c r="LXR31" s="672"/>
      <c r="LXS31" s="672"/>
      <c r="LXT31" s="672"/>
      <c r="LXU31" s="672"/>
      <c r="LXV31" s="672"/>
      <c r="LXW31" s="672"/>
      <c r="LXX31" s="672"/>
      <c r="LXY31" s="672"/>
      <c r="LXZ31" s="672"/>
      <c r="LYA31" s="672"/>
      <c r="LYB31" s="672"/>
      <c r="LYC31" s="672"/>
      <c r="LYD31" s="672"/>
      <c r="LYE31" s="672"/>
      <c r="LYF31" s="672"/>
      <c r="LYG31" s="672"/>
      <c r="LYH31" s="672"/>
      <c r="LYI31" s="672"/>
      <c r="LYJ31" s="672"/>
      <c r="LYK31" s="672"/>
      <c r="LYL31" s="672"/>
      <c r="LYM31" s="672"/>
      <c r="LYN31" s="672"/>
      <c r="LYO31" s="672"/>
      <c r="LYP31" s="672"/>
      <c r="LYQ31" s="672"/>
      <c r="LYR31" s="672"/>
      <c r="LYS31" s="672"/>
      <c r="LYT31" s="672"/>
      <c r="LYU31" s="672"/>
      <c r="LYV31" s="672"/>
      <c r="LYW31" s="672"/>
      <c r="LYX31" s="672"/>
      <c r="LYY31" s="672"/>
      <c r="LYZ31" s="672"/>
      <c r="LZA31" s="672"/>
      <c r="LZB31" s="672"/>
      <c r="LZC31" s="672"/>
      <c r="LZD31" s="672"/>
      <c r="LZE31" s="672"/>
      <c r="LZF31" s="672"/>
      <c r="LZG31" s="672"/>
      <c r="LZH31" s="672"/>
      <c r="LZI31" s="672"/>
      <c r="LZJ31" s="672"/>
      <c r="LZK31" s="672"/>
      <c r="LZL31" s="672"/>
      <c r="LZM31" s="672"/>
      <c r="LZN31" s="672"/>
      <c r="LZO31" s="672"/>
      <c r="LZP31" s="672"/>
      <c r="LZQ31" s="672"/>
      <c r="LZR31" s="672"/>
      <c r="LZS31" s="672"/>
      <c r="LZT31" s="672"/>
      <c r="LZU31" s="672"/>
      <c r="LZV31" s="672"/>
      <c r="LZW31" s="672"/>
      <c r="LZX31" s="672"/>
      <c r="LZY31" s="672"/>
      <c r="LZZ31" s="672"/>
      <c r="MAA31" s="672"/>
      <c r="MAB31" s="672"/>
      <c r="MAC31" s="672"/>
      <c r="MAD31" s="672"/>
      <c r="MAE31" s="672"/>
      <c r="MAF31" s="672"/>
      <c r="MAG31" s="672"/>
      <c r="MAH31" s="672"/>
      <c r="MAI31" s="672"/>
      <c r="MAJ31" s="672"/>
      <c r="MAK31" s="672"/>
      <c r="MAL31" s="672"/>
      <c r="MAM31" s="672"/>
      <c r="MAN31" s="672"/>
      <c r="MAO31" s="672"/>
      <c r="MAP31" s="672"/>
      <c r="MAQ31" s="672"/>
      <c r="MAR31" s="672"/>
      <c r="MAS31" s="672"/>
      <c r="MAT31" s="672"/>
      <c r="MAU31" s="672"/>
      <c r="MAV31" s="672"/>
      <c r="MAW31" s="672"/>
      <c r="MAX31" s="672"/>
      <c r="MAY31" s="672"/>
      <c r="MAZ31" s="672"/>
      <c r="MBA31" s="672"/>
      <c r="MBB31" s="672"/>
      <c r="MBC31" s="672"/>
      <c r="MBD31" s="672"/>
      <c r="MBE31" s="672"/>
      <c r="MBF31" s="672"/>
      <c r="MBG31" s="672"/>
      <c r="MBH31" s="672"/>
      <c r="MBI31" s="672"/>
      <c r="MBJ31" s="672"/>
      <c r="MBK31" s="672"/>
      <c r="MBL31" s="672"/>
      <c r="MBM31" s="672"/>
      <c r="MBN31" s="672"/>
      <c r="MBO31" s="672"/>
      <c r="MBP31" s="672"/>
      <c r="MBQ31" s="672"/>
      <c r="MBR31" s="672"/>
      <c r="MBS31" s="672"/>
      <c r="MBT31" s="672"/>
      <c r="MBU31" s="672"/>
      <c r="MBV31" s="672"/>
      <c r="MBW31" s="672"/>
      <c r="MBX31" s="672"/>
      <c r="MBY31" s="672"/>
      <c r="MBZ31" s="672"/>
      <c r="MCA31" s="672"/>
      <c r="MCB31" s="672"/>
      <c r="MCC31" s="672"/>
      <c r="MCD31" s="672"/>
      <c r="MCE31" s="672"/>
      <c r="MCF31" s="672"/>
      <c r="MCG31" s="672"/>
      <c r="MCH31" s="672"/>
      <c r="MCI31" s="672"/>
      <c r="MCJ31" s="672"/>
      <c r="MCK31" s="672"/>
      <c r="MCL31" s="672"/>
      <c r="MCM31" s="672"/>
      <c r="MCN31" s="672"/>
      <c r="MCO31" s="672"/>
      <c r="MCP31" s="672"/>
      <c r="MCQ31" s="672"/>
      <c r="MCR31" s="672"/>
      <c r="MCS31" s="672"/>
      <c r="MCT31" s="672"/>
      <c r="MCU31" s="672"/>
      <c r="MCV31" s="672"/>
      <c r="MCW31" s="672"/>
      <c r="MCX31" s="672"/>
      <c r="MCY31" s="672"/>
      <c r="MCZ31" s="672"/>
      <c r="MDA31" s="672"/>
      <c r="MDB31" s="672"/>
      <c r="MDC31" s="672"/>
      <c r="MDD31" s="672"/>
      <c r="MDE31" s="672"/>
      <c r="MDF31" s="672"/>
      <c r="MDG31" s="672"/>
      <c r="MDH31" s="672"/>
      <c r="MDI31" s="672"/>
      <c r="MDJ31" s="672"/>
      <c r="MDK31" s="672"/>
      <c r="MDL31" s="672"/>
      <c r="MDM31" s="672"/>
      <c r="MDN31" s="672"/>
      <c r="MDO31" s="672"/>
      <c r="MDP31" s="672"/>
      <c r="MDQ31" s="672"/>
      <c r="MDR31" s="672"/>
      <c r="MDS31" s="672"/>
      <c r="MDT31" s="672"/>
      <c r="MDU31" s="672"/>
      <c r="MDV31" s="672"/>
      <c r="MDW31" s="672"/>
      <c r="MDX31" s="672"/>
      <c r="MDY31" s="672"/>
      <c r="MDZ31" s="672"/>
      <c r="MEA31" s="672"/>
      <c r="MEB31" s="672"/>
      <c r="MEC31" s="672"/>
      <c r="MED31" s="672"/>
      <c r="MEE31" s="672"/>
      <c r="MEF31" s="672"/>
      <c r="MEG31" s="672"/>
      <c r="MEH31" s="672"/>
      <c r="MEI31" s="672"/>
      <c r="MEJ31" s="672"/>
      <c r="MEK31" s="672"/>
      <c r="MEL31" s="672"/>
      <c r="MEM31" s="672"/>
      <c r="MEN31" s="672"/>
      <c r="MEO31" s="672"/>
      <c r="MEP31" s="672"/>
      <c r="MEQ31" s="672"/>
      <c r="MER31" s="672"/>
      <c r="MES31" s="672"/>
      <c r="MET31" s="672"/>
      <c r="MEU31" s="672"/>
      <c r="MEV31" s="672"/>
      <c r="MEW31" s="672"/>
      <c r="MEX31" s="672"/>
      <c r="MEY31" s="672"/>
      <c r="MEZ31" s="672"/>
      <c r="MFA31" s="672"/>
      <c r="MFB31" s="672"/>
      <c r="MFC31" s="672"/>
      <c r="MFD31" s="672"/>
      <c r="MFE31" s="672"/>
      <c r="MFF31" s="672"/>
      <c r="MFG31" s="672"/>
      <c r="MFH31" s="672"/>
      <c r="MFI31" s="672"/>
      <c r="MFJ31" s="672"/>
      <c r="MFK31" s="672"/>
      <c r="MFL31" s="672"/>
      <c r="MFM31" s="672"/>
      <c r="MFN31" s="672"/>
      <c r="MFO31" s="672"/>
      <c r="MFP31" s="672"/>
      <c r="MFQ31" s="672"/>
      <c r="MFR31" s="672"/>
      <c r="MFS31" s="672"/>
      <c r="MFT31" s="672"/>
      <c r="MFU31" s="672"/>
      <c r="MFV31" s="672"/>
      <c r="MFW31" s="672"/>
      <c r="MFX31" s="672"/>
      <c r="MFY31" s="672"/>
      <c r="MFZ31" s="672"/>
      <c r="MGA31" s="672"/>
      <c r="MGB31" s="672"/>
      <c r="MGC31" s="672"/>
      <c r="MGD31" s="672"/>
      <c r="MGE31" s="672"/>
      <c r="MGF31" s="672"/>
      <c r="MGG31" s="672"/>
      <c r="MGH31" s="672"/>
      <c r="MGI31" s="672"/>
      <c r="MGJ31" s="672"/>
      <c r="MGK31" s="672"/>
      <c r="MGL31" s="672"/>
      <c r="MGM31" s="672"/>
      <c r="MGN31" s="672"/>
      <c r="MGO31" s="672"/>
      <c r="MGP31" s="672"/>
      <c r="MGQ31" s="672"/>
      <c r="MGR31" s="672"/>
      <c r="MGS31" s="672"/>
      <c r="MGT31" s="672"/>
      <c r="MGU31" s="672"/>
      <c r="MGV31" s="672"/>
      <c r="MGW31" s="672"/>
      <c r="MGX31" s="672"/>
      <c r="MGY31" s="672"/>
      <c r="MGZ31" s="672"/>
      <c r="MHA31" s="672"/>
      <c r="MHB31" s="672"/>
      <c r="MHC31" s="672"/>
      <c r="MHD31" s="672"/>
      <c r="MHE31" s="672"/>
      <c r="MHF31" s="672"/>
      <c r="MHG31" s="672"/>
      <c r="MHH31" s="672"/>
      <c r="MHI31" s="672"/>
      <c r="MHJ31" s="672"/>
      <c r="MHK31" s="672"/>
      <c r="MHL31" s="672"/>
      <c r="MHM31" s="672"/>
      <c r="MHN31" s="672"/>
      <c r="MHO31" s="672"/>
      <c r="MHP31" s="672"/>
      <c r="MHQ31" s="672"/>
      <c r="MHR31" s="672"/>
      <c r="MHS31" s="672"/>
      <c r="MHT31" s="672"/>
      <c r="MHU31" s="672"/>
      <c r="MHV31" s="672"/>
      <c r="MHW31" s="672"/>
      <c r="MHX31" s="672"/>
      <c r="MHY31" s="672"/>
      <c r="MHZ31" s="672"/>
      <c r="MIA31" s="672"/>
      <c r="MIB31" s="672"/>
      <c r="MIC31" s="672"/>
      <c r="MID31" s="672"/>
      <c r="MIE31" s="672"/>
      <c r="MIF31" s="672"/>
      <c r="MIG31" s="672"/>
      <c r="MIH31" s="672"/>
      <c r="MII31" s="672"/>
      <c r="MIJ31" s="672"/>
      <c r="MIK31" s="672"/>
      <c r="MIL31" s="672"/>
      <c r="MIM31" s="672"/>
      <c r="MIN31" s="672"/>
      <c r="MIO31" s="672"/>
      <c r="MIP31" s="672"/>
      <c r="MIQ31" s="672"/>
      <c r="MIR31" s="672"/>
      <c r="MIS31" s="672"/>
      <c r="MIT31" s="672"/>
      <c r="MIU31" s="672"/>
      <c r="MIV31" s="672"/>
      <c r="MIW31" s="672"/>
      <c r="MIX31" s="672"/>
      <c r="MIY31" s="672"/>
      <c r="MIZ31" s="672"/>
      <c r="MJA31" s="672"/>
      <c r="MJB31" s="672"/>
      <c r="MJC31" s="672"/>
      <c r="MJD31" s="672"/>
      <c r="MJE31" s="672"/>
      <c r="MJF31" s="672"/>
      <c r="MJG31" s="672"/>
      <c r="MJH31" s="672"/>
      <c r="MJI31" s="672"/>
      <c r="MJJ31" s="672"/>
      <c r="MJK31" s="672"/>
      <c r="MJL31" s="672"/>
      <c r="MJM31" s="672"/>
      <c r="MJN31" s="672"/>
      <c r="MJO31" s="672"/>
      <c r="MJP31" s="672"/>
      <c r="MJQ31" s="672"/>
      <c r="MJR31" s="672"/>
      <c r="MJS31" s="672"/>
      <c r="MJT31" s="672"/>
      <c r="MJU31" s="672"/>
      <c r="MJV31" s="672"/>
      <c r="MJW31" s="672"/>
      <c r="MJX31" s="672"/>
      <c r="MJY31" s="672"/>
      <c r="MJZ31" s="672"/>
      <c r="MKA31" s="672"/>
      <c r="MKB31" s="672"/>
      <c r="MKC31" s="672"/>
      <c r="MKD31" s="672"/>
      <c r="MKE31" s="672"/>
      <c r="MKF31" s="672"/>
      <c r="MKG31" s="672"/>
      <c r="MKH31" s="672"/>
      <c r="MKI31" s="672"/>
      <c r="MKJ31" s="672"/>
      <c r="MKK31" s="672"/>
      <c r="MKL31" s="672"/>
      <c r="MKM31" s="672"/>
      <c r="MKN31" s="672"/>
      <c r="MKO31" s="672"/>
      <c r="MKP31" s="672"/>
      <c r="MKQ31" s="672"/>
      <c r="MKR31" s="672"/>
      <c r="MKS31" s="672"/>
      <c r="MKT31" s="672"/>
      <c r="MKU31" s="672"/>
      <c r="MKV31" s="672"/>
      <c r="MKW31" s="672"/>
      <c r="MKX31" s="672"/>
      <c r="MKY31" s="672"/>
      <c r="MKZ31" s="672"/>
      <c r="MLA31" s="672"/>
      <c r="MLB31" s="672"/>
      <c r="MLC31" s="672"/>
      <c r="MLD31" s="672"/>
      <c r="MLE31" s="672"/>
      <c r="MLF31" s="672"/>
      <c r="MLG31" s="672"/>
      <c r="MLH31" s="672"/>
      <c r="MLI31" s="672"/>
      <c r="MLJ31" s="672"/>
      <c r="MLK31" s="672"/>
      <c r="MLL31" s="672"/>
      <c r="MLM31" s="672"/>
      <c r="MLN31" s="672"/>
      <c r="MLO31" s="672"/>
      <c r="MLP31" s="672"/>
      <c r="MLQ31" s="672"/>
      <c r="MLR31" s="672"/>
      <c r="MLS31" s="672"/>
      <c r="MLT31" s="672"/>
      <c r="MLU31" s="672"/>
      <c r="MLV31" s="672"/>
      <c r="MLW31" s="672"/>
      <c r="MLX31" s="672"/>
      <c r="MLY31" s="672"/>
      <c r="MLZ31" s="672"/>
      <c r="MMA31" s="672"/>
      <c r="MMB31" s="672"/>
      <c r="MMC31" s="672"/>
      <c r="MMD31" s="672"/>
      <c r="MME31" s="672"/>
      <c r="MMF31" s="672"/>
      <c r="MMG31" s="672"/>
      <c r="MMH31" s="672"/>
      <c r="MMI31" s="672"/>
      <c r="MMJ31" s="672"/>
      <c r="MMK31" s="672"/>
      <c r="MML31" s="672"/>
      <c r="MMM31" s="672"/>
      <c r="MMN31" s="672"/>
      <c r="MMO31" s="672"/>
      <c r="MMP31" s="672"/>
      <c r="MMQ31" s="672"/>
      <c r="MMR31" s="672"/>
      <c r="MMS31" s="672"/>
      <c r="MMT31" s="672"/>
      <c r="MMU31" s="672"/>
      <c r="MMV31" s="672"/>
      <c r="MMW31" s="672"/>
      <c r="MMX31" s="672"/>
      <c r="MMY31" s="672"/>
      <c r="MMZ31" s="672"/>
      <c r="MNA31" s="672"/>
      <c r="MNB31" s="672"/>
      <c r="MNC31" s="672"/>
      <c r="MND31" s="672"/>
      <c r="MNE31" s="672"/>
      <c r="MNF31" s="672"/>
      <c r="MNG31" s="672"/>
      <c r="MNH31" s="672"/>
      <c r="MNI31" s="672"/>
      <c r="MNJ31" s="672"/>
      <c r="MNK31" s="672"/>
      <c r="MNL31" s="672"/>
      <c r="MNM31" s="672"/>
      <c r="MNN31" s="672"/>
      <c r="MNO31" s="672"/>
      <c r="MNP31" s="672"/>
      <c r="MNQ31" s="672"/>
      <c r="MNR31" s="672"/>
      <c r="MNS31" s="672"/>
      <c r="MNT31" s="672"/>
      <c r="MNU31" s="672"/>
      <c r="MNV31" s="672"/>
      <c r="MNW31" s="672"/>
      <c r="MNX31" s="672"/>
      <c r="MNY31" s="672"/>
      <c r="MNZ31" s="672"/>
      <c r="MOA31" s="672"/>
      <c r="MOB31" s="672"/>
      <c r="MOC31" s="672"/>
      <c r="MOD31" s="672"/>
      <c r="MOE31" s="672"/>
      <c r="MOF31" s="672"/>
      <c r="MOG31" s="672"/>
      <c r="MOH31" s="672"/>
      <c r="MOI31" s="672"/>
      <c r="MOJ31" s="672"/>
      <c r="MOK31" s="672"/>
      <c r="MOL31" s="672"/>
      <c r="MOM31" s="672"/>
      <c r="MON31" s="672"/>
      <c r="MOO31" s="672"/>
      <c r="MOP31" s="672"/>
      <c r="MOQ31" s="672"/>
      <c r="MOR31" s="672"/>
      <c r="MOS31" s="672"/>
      <c r="MOT31" s="672"/>
      <c r="MOU31" s="672"/>
      <c r="MOV31" s="672"/>
      <c r="MOW31" s="672"/>
      <c r="MOX31" s="672"/>
      <c r="MOY31" s="672"/>
      <c r="MOZ31" s="672"/>
      <c r="MPA31" s="672"/>
      <c r="MPB31" s="672"/>
      <c r="MPC31" s="672"/>
      <c r="MPD31" s="672"/>
      <c r="MPE31" s="672"/>
      <c r="MPF31" s="672"/>
      <c r="MPG31" s="672"/>
      <c r="MPH31" s="672"/>
      <c r="MPI31" s="672"/>
      <c r="MPJ31" s="672"/>
      <c r="MPK31" s="672"/>
      <c r="MPL31" s="672"/>
      <c r="MPM31" s="672"/>
      <c r="MPN31" s="672"/>
      <c r="MPO31" s="672"/>
      <c r="MPP31" s="672"/>
      <c r="MPQ31" s="672"/>
      <c r="MPR31" s="672"/>
      <c r="MPS31" s="672"/>
      <c r="MPT31" s="672"/>
      <c r="MPU31" s="672"/>
      <c r="MPV31" s="672"/>
      <c r="MPW31" s="672"/>
      <c r="MPX31" s="672"/>
      <c r="MPY31" s="672"/>
      <c r="MPZ31" s="672"/>
      <c r="MQA31" s="672"/>
      <c r="MQB31" s="672"/>
      <c r="MQC31" s="672"/>
      <c r="MQD31" s="672"/>
      <c r="MQE31" s="672"/>
      <c r="MQF31" s="672"/>
      <c r="MQG31" s="672"/>
      <c r="MQH31" s="672"/>
      <c r="MQI31" s="672"/>
      <c r="MQJ31" s="672"/>
      <c r="MQK31" s="672"/>
      <c r="MQL31" s="672"/>
      <c r="MQM31" s="672"/>
      <c r="MQN31" s="672"/>
      <c r="MQO31" s="672"/>
      <c r="MQP31" s="672"/>
      <c r="MQQ31" s="672"/>
      <c r="MQR31" s="672"/>
      <c r="MQS31" s="672"/>
      <c r="MQT31" s="672"/>
      <c r="MQU31" s="672"/>
      <c r="MQV31" s="672"/>
      <c r="MQW31" s="672"/>
      <c r="MQX31" s="672"/>
      <c r="MQY31" s="672"/>
      <c r="MQZ31" s="672"/>
      <c r="MRA31" s="672"/>
      <c r="MRB31" s="672"/>
      <c r="MRC31" s="672"/>
      <c r="MRD31" s="672"/>
      <c r="MRE31" s="672"/>
      <c r="MRF31" s="672"/>
      <c r="MRG31" s="672"/>
      <c r="MRH31" s="672"/>
      <c r="MRI31" s="672"/>
      <c r="MRJ31" s="672"/>
      <c r="MRK31" s="672"/>
      <c r="MRL31" s="672"/>
      <c r="MRM31" s="672"/>
      <c r="MRN31" s="672"/>
      <c r="MRO31" s="672"/>
      <c r="MRP31" s="672"/>
      <c r="MRQ31" s="672"/>
      <c r="MRR31" s="672"/>
      <c r="MRS31" s="672"/>
      <c r="MRT31" s="672"/>
      <c r="MRU31" s="672"/>
      <c r="MRV31" s="672"/>
      <c r="MRW31" s="672"/>
      <c r="MRX31" s="672"/>
      <c r="MRY31" s="672"/>
      <c r="MRZ31" s="672"/>
      <c r="MSA31" s="672"/>
      <c r="MSB31" s="672"/>
      <c r="MSC31" s="672"/>
      <c r="MSD31" s="672"/>
      <c r="MSE31" s="672"/>
      <c r="MSF31" s="672"/>
      <c r="MSG31" s="672"/>
      <c r="MSH31" s="672"/>
      <c r="MSI31" s="672"/>
      <c r="MSJ31" s="672"/>
      <c r="MSK31" s="672"/>
      <c r="MSL31" s="672"/>
      <c r="MSM31" s="672"/>
      <c r="MSN31" s="672"/>
      <c r="MSO31" s="672"/>
      <c r="MSP31" s="672"/>
      <c r="MSQ31" s="672"/>
      <c r="MSR31" s="672"/>
      <c r="MSS31" s="672"/>
      <c r="MST31" s="672"/>
      <c r="MSU31" s="672"/>
      <c r="MSV31" s="672"/>
      <c r="MSW31" s="672"/>
      <c r="MSX31" s="672"/>
      <c r="MSY31" s="672"/>
      <c r="MSZ31" s="672"/>
      <c r="MTA31" s="672"/>
      <c r="MTB31" s="672"/>
      <c r="MTC31" s="672"/>
      <c r="MTD31" s="672"/>
      <c r="MTE31" s="672"/>
      <c r="MTF31" s="672"/>
      <c r="MTG31" s="672"/>
      <c r="MTH31" s="672"/>
      <c r="MTI31" s="672"/>
      <c r="MTJ31" s="672"/>
      <c r="MTK31" s="672"/>
      <c r="MTL31" s="672"/>
      <c r="MTM31" s="672"/>
      <c r="MTN31" s="672"/>
      <c r="MTO31" s="672"/>
      <c r="MTP31" s="672"/>
      <c r="MTQ31" s="672"/>
      <c r="MTR31" s="672"/>
      <c r="MTS31" s="672"/>
      <c r="MTT31" s="672"/>
      <c r="MTU31" s="672"/>
      <c r="MTV31" s="672"/>
      <c r="MTW31" s="672"/>
      <c r="MTX31" s="672"/>
      <c r="MTY31" s="672"/>
      <c r="MTZ31" s="672"/>
      <c r="MUA31" s="672"/>
      <c r="MUB31" s="672"/>
      <c r="MUC31" s="672"/>
      <c r="MUD31" s="672"/>
      <c r="MUE31" s="672"/>
      <c r="MUF31" s="672"/>
      <c r="MUG31" s="672"/>
      <c r="MUH31" s="672"/>
      <c r="MUI31" s="672"/>
      <c r="MUJ31" s="672"/>
      <c r="MUK31" s="672"/>
      <c r="MUL31" s="672"/>
      <c r="MUM31" s="672"/>
      <c r="MUN31" s="672"/>
      <c r="MUO31" s="672"/>
      <c r="MUP31" s="672"/>
      <c r="MUQ31" s="672"/>
      <c r="MUR31" s="672"/>
      <c r="MUS31" s="672"/>
      <c r="MUT31" s="672"/>
      <c r="MUU31" s="672"/>
      <c r="MUV31" s="672"/>
      <c r="MUW31" s="672"/>
      <c r="MUX31" s="672"/>
      <c r="MUY31" s="672"/>
      <c r="MUZ31" s="672"/>
      <c r="MVA31" s="672"/>
      <c r="MVB31" s="672"/>
      <c r="MVC31" s="672"/>
      <c r="MVD31" s="672"/>
      <c r="MVE31" s="672"/>
      <c r="MVF31" s="672"/>
      <c r="MVG31" s="672"/>
      <c r="MVH31" s="672"/>
      <c r="MVI31" s="672"/>
      <c r="MVJ31" s="672"/>
      <c r="MVK31" s="672"/>
      <c r="MVL31" s="672"/>
      <c r="MVM31" s="672"/>
      <c r="MVN31" s="672"/>
      <c r="MVO31" s="672"/>
      <c r="MVP31" s="672"/>
      <c r="MVQ31" s="672"/>
      <c r="MVR31" s="672"/>
      <c r="MVS31" s="672"/>
      <c r="MVT31" s="672"/>
      <c r="MVU31" s="672"/>
      <c r="MVV31" s="672"/>
      <c r="MVW31" s="672"/>
      <c r="MVX31" s="672"/>
      <c r="MVY31" s="672"/>
      <c r="MVZ31" s="672"/>
      <c r="MWA31" s="672"/>
      <c r="MWB31" s="672"/>
      <c r="MWC31" s="672"/>
      <c r="MWD31" s="672"/>
      <c r="MWE31" s="672"/>
      <c r="MWF31" s="672"/>
      <c r="MWG31" s="672"/>
      <c r="MWH31" s="672"/>
      <c r="MWI31" s="672"/>
      <c r="MWJ31" s="672"/>
      <c r="MWK31" s="672"/>
      <c r="MWL31" s="672"/>
      <c r="MWM31" s="672"/>
      <c r="MWN31" s="672"/>
      <c r="MWO31" s="672"/>
      <c r="MWP31" s="672"/>
      <c r="MWQ31" s="672"/>
      <c r="MWR31" s="672"/>
      <c r="MWS31" s="672"/>
      <c r="MWT31" s="672"/>
      <c r="MWU31" s="672"/>
      <c r="MWV31" s="672"/>
      <c r="MWW31" s="672"/>
      <c r="MWX31" s="672"/>
      <c r="MWY31" s="672"/>
      <c r="MWZ31" s="672"/>
      <c r="MXA31" s="672"/>
      <c r="MXB31" s="672"/>
      <c r="MXC31" s="672"/>
      <c r="MXD31" s="672"/>
      <c r="MXE31" s="672"/>
      <c r="MXF31" s="672"/>
      <c r="MXG31" s="672"/>
      <c r="MXH31" s="672"/>
      <c r="MXI31" s="672"/>
      <c r="MXJ31" s="672"/>
      <c r="MXK31" s="672"/>
      <c r="MXL31" s="672"/>
      <c r="MXM31" s="672"/>
      <c r="MXN31" s="672"/>
      <c r="MXO31" s="672"/>
      <c r="MXP31" s="672"/>
      <c r="MXQ31" s="672"/>
      <c r="MXR31" s="672"/>
      <c r="MXS31" s="672"/>
      <c r="MXT31" s="672"/>
      <c r="MXU31" s="672"/>
      <c r="MXV31" s="672"/>
      <c r="MXW31" s="672"/>
      <c r="MXX31" s="672"/>
      <c r="MXY31" s="672"/>
      <c r="MXZ31" s="672"/>
      <c r="MYA31" s="672"/>
      <c r="MYB31" s="672"/>
      <c r="MYC31" s="672"/>
      <c r="MYD31" s="672"/>
      <c r="MYE31" s="672"/>
      <c r="MYF31" s="672"/>
      <c r="MYG31" s="672"/>
      <c r="MYH31" s="672"/>
      <c r="MYI31" s="672"/>
      <c r="MYJ31" s="672"/>
      <c r="MYK31" s="672"/>
      <c r="MYL31" s="672"/>
      <c r="MYM31" s="672"/>
      <c r="MYN31" s="672"/>
      <c r="MYO31" s="672"/>
      <c r="MYP31" s="672"/>
      <c r="MYQ31" s="672"/>
      <c r="MYR31" s="672"/>
      <c r="MYS31" s="672"/>
      <c r="MYT31" s="672"/>
      <c r="MYU31" s="672"/>
      <c r="MYV31" s="672"/>
      <c r="MYW31" s="672"/>
      <c r="MYX31" s="672"/>
      <c r="MYY31" s="672"/>
      <c r="MYZ31" s="672"/>
      <c r="MZA31" s="672"/>
      <c r="MZB31" s="672"/>
      <c r="MZC31" s="672"/>
      <c r="MZD31" s="672"/>
      <c r="MZE31" s="672"/>
      <c r="MZF31" s="672"/>
      <c r="MZG31" s="672"/>
      <c r="MZH31" s="672"/>
      <c r="MZI31" s="672"/>
      <c r="MZJ31" s="672"/>
      <c r="MZK31" s="672"/>
      <c r="MZL31" s="672"/>
      <c r="MZM31" s="672"/>
      <c r="MZN31" s="672"/>
      <c r="MZO31" s="672"/>
      <c r="MZP31" s="672"/>
      <c r="MZQ31" s="672"/>
      <c r="MZR31" s="672"/>
      <c r="MZS31" s="672"/>
      <c r="MZT31" s="672"/>
      <c r="MZU31" s="672"/>
      <c r="MZV31" s="672"/>
      <c r="MZW31" s="672"/>
      <c r="MZX31" s="672"/>
      <c r="MZY31" s="672"/>
      <c r="MZZ31" s="672"/>
      <c r="NAA31" s="672"/>
      <c r="NAB31" s="672"/>
      <c r="NAC31" s="672"/>
      <c r="NAD31" s="672"/>
      <c r="NAE31" s="672"/>
      <c r="NAF31" s="672"/>
      <c r="NAG31" s="672"/>
      <c r="NAH31" s="672"/>
      <c r="NAI31" s="672"/>
      <c r="NAJ31" s="672"/>
      <c r="NAK31" s="672"/>
      <c r="NAL31" s="672"/>
      <c r="NAM31" s="672"/>
      <c r="NAN31" s="672"/>
      <c r="NAO31" s="672"/>
      <c r="NAP31" s="672"/>
      <c r="NAQ31" s="672"/>
      <c r="NAR31" s="672"/>
      <c r="NAS31" s="672"/>
      <c r="NAT31" s="672"/>
      <c r="NAU31" s="672"/>
      <c r="NAV31" s="672"/>
      <c r="NAW31" s="672"/>
      <c r="NAX31" s="672"/>
      <c r="NAY31" s="672"/>
      <c r="NAZ31" s="672"/>
      <c r="NBA31" s="672"/>
      <c r="NBB31" s="672"/>
      <c r="NBC31" s="672"/>
      <c r="NBD31" s="672"/>
      <c r="NBE31" s="672"/>
      <c r="NBF31" s="672"/>
      <c r="NBG31" s="672"/>
      <c r="NBH31" s="672"/>
      <c r="NBI31" s="672"/>
      <c r="NBJ31" s="672"/>
      <c r="NBK31" s="672"/>
      <c r="NBL31" s="672"/>
      <c r="NBM31" s="672"/>
      <c r="NBN31" s="672"/>
      <c r="NBO31" s="672"/>
      <c r="NBP31" s="672"/>
      <c r="NBQ31" s="672"/>
      <c r="NBR31" s="672"/>
      <c r="NBS31" s="672"/>
      <c r="NBT31" s="672"/>
      <c r="NBU31" s="672"/>
      <c r="NBV31" s="672"/>
      <c r="NBW31" s="672"/>
      <c r="NBX31" s="672"/>
      <c r="NBY31" s="672"/>
      <c r="NBZ31" s="672"/>
      <c r="NCA31" s="672"/>
      <c r="NCB31" s="672"/>
      <c r="NCC31" s="672"/>
      <c r="NCD31" s="672"/>
      <c r="NCE31" s="672"/>
      <c r="NCF31" s="672"/>
      <c r="NCG31" s="672"/>
      <c r="NCH31" s="672"/>
      <c r="NCI31" s="672"/>
      <c r="NCJ31" s="672"/>
      <c r="NCK31" s="672"/>
      <c r="NCL31" s="672"/>
      <c r="NCM31" s="672"/>
      <c r="NCN31" s="672"/>
      <c r="NCO31" s="672"/>
      <c r="NCP31" s="672"/>
      <c r="NCQ31" s="672"/>
      <c r="NCR31" s="672"/>
      <c r="NCS31" s="672"/>
      <c r="NCT31" s="672"/>
      <c r="NCU31" s="672"/>
      <c r="NCV31" s="672"/>
      <c r="NCW31" s="672"/>
      <c r="NCX31" s="672"/>
      <c r="NCY31" s="672"/>
      <c r="NCZ31" s="672"/>
      <c r="NDA31" s="672"/>
      <c r="NDB31" s="672"/>
      <c r="NDC31" s="672"/>
      <c r="NDD31" s="672"/>
      <c r="NDE31" s="672"/>
      <c r="NDF31" s="672"/>
      <c r="NDG31" s="672"/>
      <c r="NDH31" s="672"/>
      <c r="NDI31" s="672"/>
      <c r="NDJ31" s="672"/>
      <c r="NDK31" s="672"/>
      <c r="NDL31" s="672"/>
      <c r="NDM31" s="672"/>
      <c r="NDN31" s="672"/>
      <c r="NDO31" s="672"/>
      <c r="NDP31" s="672"/>
      <c r="NDQ31" s="672"/>
      <c r="NDR31" s="672"/>
      <c r="NDS31" s="672"/>
      <c r="NDT31" s="672"/>
      <c r="NDU31" s="672"/>
      <c r="NDV31" s="672"/>
      <c r="NDW31" s="672"/>
      <c r="NDX31" s="672"/>
      <c r="NDY31" s="672"/>
      <c r="NDZ31" s="672"/>
      <c r="NEA31" s="672"/>
      <c r="NEB31" s="672"/>
      <c r="NEC31" s="672"/>
      <c r="NED31" s="672"/>
      <c r="NEE31" s="672"/>
      <c r="NEF31" s="672"/>
      <c r="NEG31" s="672"/>
      <c r="NEH31" s="672"/>
      <c r="NEI31" s="672"/>
      <c r="NEJ31" s="672"/>
      <c r="NEK31" s="672"/>
      <c r="NEL31" s="672"/>
      <c r="NEM31" s="672"/>
      <c r="NEN31" s="672"/>
      <c r="NEO31" s="672"/>
      <c r="NEP31" s="672"/>
      <c r="NEQ31" s="672"/>
      <c r="NER31" s="672"/>
      <c r="NES31" s="672"/>
      <c r="NET31" s="672"/>
      <c r="NEU31" s="672"/>
      <c r="NEV31" s="672"/>
      <c r="NEW31" s="672"/>
      <c r="NEX31" s="672"/>
      <c r="NEY31" s="672"/>
      <c r="NEZ31" s="672"/>
      <c r="NFA31" s="672"/>
      <c r="NFB31" s="672"/>
      <c r="NFC31" s="672"/>
      <c r="NFD31" s="672"/>
      <c r="NFE31" s="672"/>
      <c r="NFF31" s="672"/>
      <c r="NFG31" s="672"/>
      <c r="NFH31" s="672"/>
      <c r="NFI31" s="672"/>
      <c r="NFJ31" s="672"/>
      <c r="NFK31" s="672"/>
      <c r="NFL31" s="672"/>
      <c r="NFM31" s="672"/>
      <c r="NFN31" s="672"/>
      <c r="NFO31" s="672"/>
      <c r="NFP31" s="672"/>
      <c r="NFQ31" s="672"/>
      <c r="NFR31" s="672"/>
      <c r="NFS31" s="672"/>
      <c r="NFT31" s="672"/>
      <c r="NFU31" s="672"/>
      <c r="NFV31" s="672"/>
      <c r="NFW31" s="672"/>
      <c r="NFX31" s="672"/>
      <c r="NFY31" s="672"/>
      <c r="NFZ31" s="672"/>
      <c r="NGA31" s="672"/>
      <c r="NGB31" s="672"/>
      <c r="NGC31" s="672"/>
      <c r="NGD31" s="672"/>
      <c r="NGE31" s="672"/>
      <c r="NGF31" s="672"/>
      <c r="NGG31" s="672"/>
      <c r="NGH31" s="672"/>
      <c r="NGI31" s="672"/>
      <c r="NGJ31" s="672"/>
      <c r="NGK31" s="672"/>
      <c r="NGL31" s="672"/>
      <c r="NGM31" s="672"/>
      <c r="NGN31" s="672"/>
      <c r="NGO31" s="672"/>
      <c r="NGP31" s="672"/>
      <c r="NGQ31" s="672"/>
      <c r="NGR31" s="672"/>
      <c r="NGS31" s="672"/>
      <c r="NGT31" s="672"/>
      <c r="NGU31" s="672"/>
      <c r="NGV31" s="672"/>
      <c r="NGW31" s="672"/>
      <c r="NGX31" s="672"/>
      <c r="NGY31" s="672"/>
      <c r="NGZ31" s="672"/>
      <c r="NHA31" s="672"/>
      <c r="NHB31" s="672"/>
      <c r="NHC31" s="672"/>
      <c r="NHD31" s="672"/>
      <c r="NHE31" s="672"/>
      <c r="NHF31" s="672"/>
      <c r="NHG31" s="672"/>
      <c r="NHH31" s="672"/>
      <c r="NHI31" s="672"/>
      <c r="NHJ31" s="672"/>
      <c r="NHK31" s="672"/>
      <c r="NHL31" s="672"/>
      <c r="NHM31" s="672"/>
      <c r="NHN31" s="672"/>
      <c r="NHO31" s="672"/>
      <c r="NHP31" s="672"/>
      <c r="NHQ31" s="672"/>
      <c r="NHR31" s="672"/>
      <c r="NHS31" s="672"/>
      <c r="NHT31" s="672"/>
      <c r="NHU31" s="672"/>
      <c r="NHV31" s="672"/>
      <c r="NHW31" s="672"/>
      <c r="NHX31" s="672"/>
      <c r="NHY31" s="672"/>
      <c r="NHZ31" s="672"/>
      <c r="NIA31" s="672"/>
      <c r="NIB31" s="672"/>
      <c r="NIC31" s="672"/>
      <c r="NID31" s="672"/>
      <c r="NIE31" s="672"/>
      <c r="NIF31" s="672"/>
      <c r="NIG31" s="672"/>
      <c r="NIH31" s="672"/>
      <c r="NII31" s="672"/>
      <c r="NIJ31" s="672"/>
      <c r="NIK31" s="672"/>
      <c r="NIL31" s="672"/>
      <c r="NIM31" s="672"/>
      <c r="NIN31" s="672"/>
      <c r="NIO31" s="672"/>
      <c r="NIP31" s="672"/>
      <c r="NIQ31" s="672"/>
      <c r="NIR31" s="672"/>
      <c r="NIS31" s="672"/>
      <c r="NIT31" s="672"/>
      <c r="NIU31" s="672"/>
      <c r="NIV31" s="672"/>
      <c r="NIW31" s="672"/>
      <c r="NIX31" s="672"/>
      <c r="NIY31" s="672"/>
      <c r="NIZ31" s="672"/>
      <c r="NJA31" s="672"/>
      <c r="NJB31" s="672"/>
      <c r="NJC31" s="672"/>
      <c r="NJD31" s="672"/>
      <c r="NJE31" s="672"/>
      <c r="NJF31" s="672"/>
      <c r="NJG31" s="672"/>
      <c r="NJH31" s="672"/>
      <c r="NJI31" s="672"/>
      <c r="NJJ31" s="672"/>
      <c r="NJK31" s="672"/>
      <c r="NJL31" s="672"/>
      <c r="NJM31" s="672"/>
      <c r="NJN31" s="672"/>
      <c r="NJO31" s="672"/>
      <c r="NJP31" s="672"/>
      <c r="NJQ31" s="672"/>
      <c r="NJR31" s="672"/>
      <c r="NJS31" s="672"/>
      <c r="NJT31" s="672"/>
      <c r="NJU31" s="672"/>
      <c r="NJV31" s="672"/>
      <c r="NJW31" s="672"/>
      <c r="NJX31" s="672"/>
      <c r="NJY31" s="672"/>
      <c r="NJZ31" s="672"/>
      <c r="NKA31" s="672"/>
      <c r="NKB31" s="672"/>
      <c r="NKC31" s="672"/>
      <c r="NKD31" s="672"/>
      <c r="NKE31" s="672"/>
      <c r="NKF31" s="672"/>
      <c r="NKG31" s="672"/>
      <c r="NKH31" s="672"/>
      <c r="NKI31" s="672"/>
      <c r="NKJ31" s="672"/>
      <c r="NKK31" s="672"/>
      <c r="NKL31" s="672"/>
      <c r="NKM31" s="672"/>
      <c r="NKN31" s="672"/>
      <c r="NKO31" s="672"/>
      <c r="NKP31" s="672"/>
      <c r="NKQ31" s="672"/>
      <c r="NKR31" s="672"/>
      <c r="NKS31" s="672"/>
      <c r="NKT31" s="672"/>
      <c r="NKU31" s="672"/>
      <c r="NKV31" s="672"/>
      <c r="NKW31" s="672"/>
      <c r="NKX31" s="672"/>
      <c r="NKY31" s="672"/>
      <c r="NKZ31" s="672"/>
      <c r="NLA31" s="672"/>
      <c r="NLB31" s="672"/>
      <c r="NLC31" s="672"/>
      <c r="NLD31" s="672"/>
      <c r="NLE31" s="672"/>
      <c r="NLF31" s="672"/>
      <c r="NLG31" s="672"/>
      <c r="NLH31" s="672"/>
      <c r="NLI31" s="672"/>
      <c r="NLJ31" s="672"/>
      <c r="NLK31" s="672"/>
      <c r="NLL31" s="672"/>
      <c r="NLM31" s="672"/>
      <c r="NLN31" s="672"/>
      <c r="NLO31" s="672"/>
      <c r="NLP31" s="672"/>
      <c r="NLQ31" s="672"/>
      <c r="NLR31" s="672"/>
      <c r="NLS31" s="672"/>
      <c r="NLT31" s="672"/>
      <c r="NLU31" s="672"/>
      <c r="NLV31" s="672"/>
      <c r="NLW31" s="672"/>
      <c r="NLX31" s="672"/>
      <c r="NLY31" s="672"/>
      <c r="NLZ31" s="672"/>
      <c r="NMA31" s="672"/>
      <c r="NMB31" s="672"/>
      <c r="NMC31" s="672"/>
      <c r="NMD31" s="672"/>
      <c r="NME31" s="672"/>
      <c r="NMF31" s="672"/>
      <c r="NMG31" s="672"/>
      <c r="NMH31" s="672"/>
      <c r="NMI31" s="672"/>
      <c r="NMJ31" s="672"/>
      <c r="NMK31" s="672"/>
      <c r="NML31" s="672"/>
      <c r="NMM31" s="672"/>
      <c r="NMN31" s="672"/>
      <c r="NMO31" s="672"/>
      <c r="NMP31" s="672"/>
      <c r="NMQ31" s="672"/>
      <c r="NMR31" s="672"/>
      <c r="NMS31" s="672"/>
      <c r="NMT31" s="672"/>
      <c r="NMU31" s="672"/>
      <c r="NMV31" s="672"/>
      <c r="NMW31" s="672"/>
      <c r="NMX31" s="672"/>
      <c r="NMY31" s="672"/>
      <c r="NMZ31" s="672"/>
      <c r="NNA31" s="672"/>
      <c r="NNB31" s="672"/>
      <c r="NNC31" s="672"/>
      <c r="NND31" s="672"/>
      <c r="NNE31" s="672"/>
      <c r="NNF31" s="672"/>
      <c r="NNG31" s="672"/>
      <c r="NNH31" s="672"/>
      <c r="NNI31" s="672"/>
      <c r="NNJ31" s="672"/>
      <c r="NNK31" s="672"/>
      <c r="NNL31" s="672"/>
      <c r="NNM31" s="672"/>
      <c r="NNN31" s="672"/>
      <c r="NNO31" s="672"/>
      <c r="NNP31" s="672"/>
      <c r="NNQ31" s="672"/>
      <c r="NNR31" s="672"/>
      <c r="NNS31" s="672"/>
      <c r="NNT31" s="672"/>
      <c r="NNU31" s="672"/>
      <c r="NNV31" s="672"/>
      <c r="NNW31" s="672"/>
      <c r="NNX31" s="672"/>
      <c r="NNY31" s="672"/>
      <c r="NNZ31" s="672"/>
      <c r="NOA31" s="672"/>
      <c r="NOB31" s="672"/>
      <c r="NOC31" s="672"/>
      <c r="NOD31" s="672"/>
      <c r="NOE31" s="672"/>
      <c r="NOF31" s="672"/>
      <c r="NOG31" s="672"/>
      <c r="NOH31" s="672"/>
      <c r="NOI31" s="672"/>
      <c r="NOJ31" s="672"/>
      <c r="NOK31" s="672"/>
      <c r="NOL31" s="672"/>
      <c r="NOM31" s="672"/>
      <c r="NON31" s="672"/>
      <c r="NOO31" s="672"/>
      <c r="NOP31" s="672"/>
      <c r="NOQ31" s="672"/>
      <c r="NOR31" s="672"/>
      <c r="NOS31" s="672"/>
      <c r="NOT31" s="672"/>
      <c r="NOU31" s="672"/>
      <c r="NOV31" s="672"/>
      <c r="NOW31" s="672"/>
      <c r="NOX31" s="672"/>
      <c r="NOY31" s="672"/>
      <c r="NOZ31" s="672"/>
      <c r="NPA31" s="672"/>
      <c r="NPB31" s="672"/>
      <c r="NPC31" s="672"/>
      <c r="NPD31" s="672"/>
      <c r="NPE31" s="672"/>
      <c r="NPF31" s="672"/>
      <c r="NPG31" s="672"/>
      <c r="NPH31" s="672"/>
      <c r="NPI31" s="672"/>
      <c r="NPJ31" s="672"/>
      <c r="NPK31" s="672"/>
      <c r="NPL31" s="672"/>
      <c r="NPM31" s="672"/>
      <c r="NPN31" s="672"/>
      <c r="NPO31" s="672"/>
      <c r="NPP31" s="672"/>
      <c r="NPQ31" s="672"/>
      <c r="NPR31" s="672"/>
      <c r="NPS31" s="672"/>
      <c r="NPT31" s="672"/>
      <c r="NPU31" s="672"/>
      <c r="NPV31" s="672"/>
      <c r="NPW31" s="672"/>
      <c r="NPX31" s="672"/>
      <c r="NPY31" s="672"/>
      <c r="NPZ31" s="672"/>
      <c r="NQA31" s="672"/>
      <c r="NQB31" s="672"/>
      <c r="NQC31" s="672"/>
      <c r="NQD31" s="672"/>
      <c r="NQE31" s="672"/>
      <c r="NQF31" s="672"/>
      <c r="NQG31" s="672"/>
      <c r="NQH31" s="672"/>
      <c r="NQI31" s="672"/>
      <c r="NQJ31" s="672"/>
      <c r="NQK31" s="672"/>
      <c r="NQL31" s="672"/>
      <c r="NQM31" s="672"/>
      <c r="NQN31" s="672"/>
      <c r="NQO31" s="672"/>
      <c r="NQP31" s="672"/>
      <c r="NQQ31" s="672"/>
      <c r="NQR31" s="672"/>
      <c r="NQS31" s="672"/>
      <c r="NQT31" s="672"/>
      <c r="NQU31" s="672"/>
      <c r="NQV31" s="672"/>
      <c r="NQW31" s="672"/>
      <c r="NQX31" s="672"/>
      <c r="NQY31" s="672"/>
      <c r="NQZ31" s="672"/>
      <c r="NRA31" s="672"/>
      <c r="NRB31" s="672"/>
      <c r="NRC31" s="672"/>
      <c r="NRD31" s="672"/>
      <c r="NRE31" s="672"/>
      <c r="NRF31" s="672"/>
      <c r="NRG31" s="672"/>
      <c r="NRH31" s="672"/>
      <c r="NRI31" s="672"/>
      <c r="NRJ31" s="672"/>
      <c r="NRK31" s="672"/>
      <c r="NRL31" s="672"/>
      <c r="NRM31" s="672"/>
      <c r="NRN31" s="672"/>
      <c r="NRO31" s="672"/>
      <c r="NRP31" s="672"/>
      <c r="NRQ31" s="672"/>
      <c r="NRR31" s="672"/>
      <c r="NRS31" s="672"/>
      <c r="NRT31" s="672"/>
      <c r="NRU31" s="672"/>
      <c r="NRV31" s="672"/>
      <c r="NRW31" s="672"/>
      <c r="NRX31" s="672"/>
      <c r="NRY31" s="672"/>
      <c r="NRZ31" s="672"/>
      <c r="NSA31" s="672"/>
      <c r="NSB31" s="672"/>
      <c r="NSC31" s="672"/>
      <c r="NSD31" s="672"/>
      <c r="NSE31" s="672"/>
      <c r="NSF31" s="672"/>
      <c r="NSG31" s="672"/>
      <c r="NSH31" s="672"/>
      <c r="NSI31" s="672"/>
      <c r="NSJ31" s="672"/>
      <c r="NSK31" s="672"/>
      <c r="NSL31" s="672"/>
      <c r="NSM31" s="672"/>
      <c r="NSN31" s="672"/>
      <c r="NSO31" s="672"/>
      <c r="NSP31" s="672"/>
      <c r="NSQ31" s="672"/>
      <c r="NSR31" s="672"/>
      <c r="NSS31" s="672"/>
      <c r="NST31" s="672"/>
      <c r="NSU31" s="672"/>
      <c r="NSV31" s="672"/>
      <c r="NSW31" s="672"/>
      <c r="NSX31" s="672"/>
      <c r="NSY31" s="672"/>
      <c r="NSZ31" s="672"/>
      <c r="NTA31" s="672"/>
      <c r="NTB31" s="672"/>
      <c r="NTC31" s="672"/>
      <c r="NTD31" s="672"/>
      <c r="NTE31" s="672"/>
      <c r="NTF31" s="672"/>
      <c r="NTG31" s="672"/>
      <c r="NTH31" s="672"/>
      <c r="NTI31" s="672"/>
      <c r="NTJ31" s="672"/>
      <c r="NTK31" s="672"/>
      <c r="NTL31" s="672"/>
      <c r="NTM31" s="672"/>
      <c r="NTN31" s="672"/>
      <c r="NTO31" s="672"/>
      <c r="NTP31" s="672"/>
      <c r="NTQ31" s="672"/>
      <c r="NTR31" s="672"/>
      <c r="NTS31" s="672"/>
      <c r="NTT31" s="672"/>
      <c r="NTU31" s="672"/>
      <c r="NTV31" s="672"/>
      <c r="NTW31" s="672"/>
      <c r="NTX31" s="672"/>
      <c r="NTY31" s="672"/>
      <c r="NTZ31" s="672"/>
      <c r="NUA31" s="672"/>
      <c r="NUB31" s="672"/>
      <c r="NUC31" s="672"/>
      <c r="NUD31" s="672"/>
      <c r="NUE31" s="672"/>
      <c r="NUF31" s="672"/>
      <c r="NUG31" s="672"/>
      <c r="NUH31" s="672"/>
      <c r="NUI31" s="672"/>
      <c r="NUJ31" s="672"/>
      <c r="NUK31" s="672"/>
      <c r="NUL31" s="672"/>
      <c r="NUM31" s="672"/>
      <c r="NUN31" s="672"/>
      <c r="NUO31" s="672"/>
      <c r="NUP31" s="672"/>
      <c r="NUQ31" s="672"/>
      <c r="NUR31" s="672"/>
      <c r="NUS31" s="672"/>
      <c r="NUT31" s="672"/>
      <c r="NUU31" s="672"/>
      <c r="NUV31" s="672"/>
      <c r="NUW31" s="672"/>
      <c r="NUX31" s="672"/>
      <c r="NUY31" s="672"/>
      <c r="NUZ31" s="672"/>
      <c r="NVA31" s="672"/>
      <c r="NVB31" s="672"/>
      <c r="NVC31" s="672"/>
      <c r="NVD31" s="672"/>
      <c r="NVE31" s="672"/>
      <c r="NVF31" s="672"/>
      <c r="NVG31" s="672"/>
      <c r="NVH31" s="672"/>
      <c r="NVI31" s="672"/>
      <c r="NVJ31" s="672"/>
      <c r="NVK31" s="672"/>
      <c r="NVL31" s="672"/>
      <c r="NVM31" s="672"/>
      <c r="NVN31" s="672"/>
      <c r="NVO31" s="672"/>
      <c r="NVP31" s="672"/>
      <c r="NVQ31" s="672"/>
      <c r="NVR31" s="672"/>
      <c r="NVS31" s="672"/>
      <c r="NVT31" s="672"/>
      <c r="NVU31" s="672"/>
      <c r="NVV31" s="672"/>
      <c r="NVW31" s="672"/>
      <c r="NVX31" s="672"/>
      <c r="NVY31" s="672"/>
      <c r="NVZ31" s="672"/>
      <c r="NWA31" s="672"/>
      <c r="NWB31" s="672"/>
      <c r="NWC31" s="672"/>
      <c r="NWD31" s="672"/>
      <c r="NWE31" s="672"/>
      <c r="NWF31" s="672"/>
      <c r="NWG31" s="672"/>
      <c r="NWH31" s="672"/>
      <c r="NWI31" s="672"/>
      <c r="NWJ31" s="672"/>
      <c r="NWK31" s="672"/>
      <c r="NWL31" s="672"/>
      <c r="NWM31" s="672"/>
      <c r="NWN31" s="672"/>
      <c r="NWO31" s="672"/>
      <c r="NWP31" s="672"/>
      <c r="NWQ31" s="672"/>
      <c r="NWR31" s="672"/>
      <c r="NWS31" s="672"/>
      <c r="NWT31" s="672"/>
      <c r="NWU31" s="672"/>
      <c r="NWV31" s="672"/>
      <c r="NWW31" s="672"/>
      <c r="NWX31" s="672"/>
      <c r="NWY31" s="672"/>
      <c r="NWZ31" s="672"/>
      <c r="NXA31" s="672"/>
      <c r="NXB31" s="672"/>
      <c r="NXC31" s="672"/>
      <c r="NXD31" s="672"/>
      <c r="NXE31" s="672"/>
      <c r="NXF31" s="672"/>
      <c r="NXG31" s="672"/>
      <c r="NXH31" s="672"/>
      <c r="NXI31" s="672"/>
      <c r="NXJ31" s="672"/>
      <c r="NXK31" s="672"/>
      <c r="NXL31" s="672"/>
      <c r="NXM31" s="672"/>
      <c r="NXN31" s="672"/>
      <c r="NXO31" s="672"/>
      <c r="NXP31" s="672"/>
      <c r="NXQ31" s="672"/>
      <c r="NXR31" s="672"/>
      <c r="NXS31" s="672"/>
      <c r="NXT31" s="672"/>
      <c r="NXU31" s="672"/>
      <c r="NXV31" s="672"/>
      <c r="NXW31" s="672"/>
      <c r="NXX31" s="672"/>
      <c r="NXY31" s="672"/>
      <c r="NXZ31" s="672"/>
      <c r="NYA31" s="672"/>
      <c r="NYB31" s="672"/>
      <c r="NYC31" s="672"/>
      <c r="NYD31" s="672"/>
      <c r="NYE31" s="672"/>
      <c r="NYF31" s="672"/>
      <c r="NYG31" s="672"/>
      <c r="NYH31" s="672"/>
      <c r="NYI31" s="672"/>
      <c r="NYJ31" s="672"/>
      <c r="NYK31" s="672"/>
      <c r="NYL31" s="672"/>
      <c r="NYM31" s="672"/>
      <c r="NYN31" s="672"/>
      <c r="NYO31" s="672"/>
      <c r="NYP31" s="672"/>
      <c r="NYQ31" s="672"/>
      <c r="NYR31" s="672"/>
      <c r="NYS31" s="672"/>
      <c r="NYT31" s="672"/>
      <c r="NYU31" s="672"/>
      <c r="NYV31" s="672"/>
      <c r="NYW31" s="672"/>
      <c r="NYX31" s="672"/>
      <c r="NYY31" s="672"/>
      <c r="NYZ31" s="672"/>
      <c r="NZA31" s="672"/>
      <c r="NZB31" s="672"/>
      <c r="NZC31" s="672"/>
      <c r="NZD31" s="672"/>
      <c r="NZE31" s="672"/>
      <c r="NZF31" s="672"/>
      <c r="NZG31" s="672"/>
      <c r="NZH31" s="672"/>
      <c r="NZI31" s="672"/>
      <c r="NZJ31" s="672"/>
      <c r="NZK31" s="672"/>
      <c r="NZL31" s="672"/>
      <c r="NZM31" s="672"/>
      <c r="NZN31" s="672"/>
      <c r="NZO31" s="672"/>
      <c r="NZP31" s="672"/>
      <c r="NZQ31" s="672"/>
      <c r="NZR31" s="672"/>
      <c r="NZS31" s="672"/>
      <c r="NZT31" s="672"/>
      <c r="NZU31" s="672"/>
      <c r="NZV31" s="672"/>
      <c r="NZW31" s="672"/>
      <c r="NZX31" s="672"/>
      <c r="NZY31" s="672"/>
      <c r="NZZ31" s="672"/>
      <c r="OAA31" s="672"/>
      <c r="OAB31" s="672"/>
      <c r="OAC31" s="672"/>
      <c r="OAD31" s="672"/>
      <c r="OAE31" s="672"/>
      <c r="OAF31" s="672"/>
      <c r="OAG31" s="672"/>
      <c r="OAH31" s="672"/>
      <c r="OAI31" s="672"/>
      <c r="OAJ31" s="672"/>
      <c r="OAK31" s="672"/>
      <c r="OAL31" s="672"/>
      <c r="OAM31" s="672"/>
      <c r="OAN31" s="672"/>
      <c r="OAO31" s="672"/>
      <c r="OAP31" s="672"/>
      <c r="OAQ31" s="672"/>
      <c r="OAR31" s="672"/>
      <c r="OAS31" s="672"/>
      <c r="OAT31" s="672"/>
      <c r="OAU31" s="672"/>
      <c r="OAV31" s="672"/>
      <c r="OAW31" s="672"/>
      <c r="OAX31" s="672"/>
      <c r="OAY31" s="672"/>
      <c r="OAZ31" s="672"/>
      <c r="OBA31" s="672"/>
      <c r="OBB31" s="672"/>
      <c r="OBC31" s="672"/>
      <c r="OBD31" s="672"/>
      <c r="OBE31" s="672"/>
      <c r="OBF31" s="672"/>
      <c r="OBG31" s="672"/>
      <c r="OBH31" s="672"/>
      <c r="OBI31" s="672"/>
      <c r="OBJ31" s="672"/>
      <c r="OBK31" s="672"/>
      <c r="OBL31" s="672"/>
      <c r="OBM31" s="672"/>
      <c r="OBN31" s="672"/>
      <c r="OBO31" s="672"/>
      <c r="OBP31" s="672"/>
      <c r="OBQ31" s="672"/>
      <c r="OBR31" s="672"/>
      <c r="OBS31" s="672"/>
      <c r="OBT31" s="672"/>
      <c r="OBU31" s="672"/>
      <c r="OBV31" s="672"/>
      <c r="OBW31" s="672"/>
      <c r="OBX31" s="672"/>
      <c r="OBY31" s="672"/>
      <c r="OBZ31" s="672"/>
      <c r="OCA31" s="672"/>
      <c r="OCB31" s="672"/>
      <c r="OCC31" s="672"/>
      <c r="OCD31" s="672"/>
      <c r="OCE31" s="672"/>
      <c r="OCF31" s="672"/>
      <c r="OCG31" s="672"/>
      <c r="OCH31" s="672"/>
      <c r="OCI31" s="672"/>
      <c r="OCJ31" s="672"/>
      <c r="OCK31" s="672"/>
      <c r="OCL31" s="672"/>
      <c r="OCM31" s="672"/>
      <c r="OCN31" s="672"/>
      <c r="OCO31" s="672"/>
      <c r="OCP31" s="672"/>
      <c r="OCQ31" s="672"/>
      <c r="OCR31" s="672"/>
      <c r="OCS31" s="672"/>
      <c r="OCT31" s="672"/>
      <c r="OCU31" s="672"/>
      <c r="OCV31" s="672"/>
      <c r="OCW31" s="672"/>
      <c r="OCX31" s="672"/>
      <c r="OCY31" s="672"/>
      <c r="OCZ31" s="672"/>
      <c r="ODA31" s="672"/>
      <c r="ODB31" s="672"/>
      <c r="ODC31" s="672"/>
      <c r="ODD31" s="672"/>
      <c r="ODE31" s="672"/>
      <c r="ODF31" s="672"/>
      <c r="ODG31" s="672"/>
      <c r="ODH31" s="672"/>
      <c r="ODI31" s="672"/>
      <c r="ODJ31" s="672"/>
      <c r="ODK31" s="672"/>
      <c r="ODL31" s="672"/>
      <c r="ODM31" s="672"/>
      <c r="ODN31" s="672"/>
      <c r="ODO31" s="672"/>
      <c r="ODP31" s="672"/>
      <c r="ODQ31" s="672"/>
      <c r="ODR31" s="672"/>
      <c r="ODS31" s="672"/>
      <c r="ODT31" s="672"/>
      <c r="ODU31" s="672"/>
      <c r="ODV31" s="672"/>
      <c r="ODW31" s="672"/>
      <c r="ODX31" s="672"/>
      <c r="ODY31" s="672"/>
      <c r="ODZ31" s="672"/>
      <c r="OEA31" s="672"/>
      <c r="OEB31" s="672"/>
      <c r="OEC31" s="672"/>
      <c r="OED31" s="672"/>
      <c r="OEE31" s="672"/>
      <c r="OEF31" s="672"/>
      <c r="OEG31" s="672"/>
      <c r="OEH31" s="672"/>
      <c r="OEI31" s="672"/>
      <c r="OEJ31" s="672"/>
      <c r="OEK31" s="672"/>
      <c r="OEL31" s="672"/>
      <c r="OEM31" s="672"/>
      <c r="OEN31" s="672"/>
      <c r="OEO31" s="672"/>
      <c r="OEP31" s="672"/>
      <c r="OEQ31" s="672"/>
      <c r="OER31" s="672"/>
      <c r="OES31" s="672"/>
      <c r="OET31" s="672"/>
      <c r="OEU31" s="672"/>
      <c r="OEV31" s="672"/>
      <c r="OEW31" s="672"/>
      <c r="OEX31" s="672"/>
      <c r="OEY31" s="672"/>
      <c r="OEZ31" s="672"/>
      <c r="OFA31" s="672"/>
      <c r="OFB31" s="672"/>
      <c r="OFC31" s="672"/>
      <c r="OFD31" s="672"/>
      <c r="OFE31" s="672"/>
      <c r="OFF31" s="672"/>
      <c r="OFG31" s="672"/>
      <c r="OFH31" s="672"/>
      <c r="OFI31" s="672"/>
      <c r="OFJ31" s="672"/>
      <c r="OFK31" s="672"/>
      <c r="OFL31" s="672"/>
      <c r="OFM31" s="672"/>
      <c r="OFN31" s="672"/>
      <c r="OFO31" s="672"/>
      <c r="OFP31" s="672"/>
      <c r="OFQ31" s="672"/>
      <c r="OFR31" s="672"/>
      <c r="OFS31" s="672"/>
      <c r="OFT31" s="672"/>
      <c r="OFU31" s="672"/>
      <c r="OFV31" s="672"/>
      <c r="OFW31" s="672"/>
      <c r="OFX31" s="672"/>
      <c r="OFY31" s="672"/>
      <c r="OFZ31" s="672"/>
      <c r="OGA31" s="672"/>
      <c r="OGB31" s="672"/>
      <c r="OGC31" s="672"/>
      <c r="OGD31" s="672"/>
      <c r="OGE31" s="672"/>
      <c r="OGF31" s="672"/>
      <c r="OGG31" s="672"/>
      <c r="OGH31" s="672"/>
      <c r="OGI31" s="672"/>
      <c r="OGJ31" s="672"/>
      <c r="OGK31" s="672"/>
      <c r="OGL31" s="672"/>
      <c r="OGM31" s="672"/>
      <c r="OGN31" s="672"/>
      <c r="OGO31" s="672"/>
      <c r="OGP31" s="672"/>
      <c r="OGQ31" s="672"/>
      <c r="OGR31" s="672"/>
      <c r="OGS31" s="672"/>
      <c r="OGT31" s="672"/>
      <c r="OGU31" s="672"/>
      <c r="OGV31" s="672"/>
      <c r="OGW31" s="672"/>
      <c r="OGX31" s="672"/>
      <c r="OGY31" s="672"/>
      <c r="OGZ31" s="672"/>
      <c r="OHA31" s="672"/>
      <c r="OHB31" s="672"/>
      <c r="OHC31" s="672"/>
      <c r="OHD31" s="672"/>
      <c r="OHE31" s="672"/>
      <c r="OHF31" s="672"/>
      <c r="OHG31" s="672"/>
      <c r="OHH31" s="672"/>
      <c r="OHI31" s="672"/>
      <c r="OHJ31" s="672"/>
      <c r="OHK31" s="672"/>
      <c r="OHL31" s="672"/>
      <c r="OHM31" s="672"/>
      <c r="OHN31" s="672"/>
      <c r="OHO31" s="672"/>
      <c r="OHP31" s="672"/>
      <c r="OHQ31" s="672"/>
      <c r="OHR31" s="672"/>
      <c r="OHS31" s="672"/>
      <c r="OHT31" s="672"/>
      <c r="OHU31" s="672"/>
      <c r="OHV31" s="672"/>
      <c r="OHW31" s="672"/>
      <c r="OHX31" s="672"/>
      <c r="OHY31" s="672"/>
      <c r="OHZ31" s="672"/>
      <c r="OIA31" s="672"/>
      <c r="OIB31" s="672"/>
      <c r="OIC31" s="672"/>
      <c r="OID31" s="672"/>
      <c r="OIE31" s="672"/>
      <c r="OIF31" s="672"/>
      <c r="OIG31" s="672"/>
      <c r="OIH31" s="672"/>
      <c r="OII31" s="672"/>
      <c r="OIJ31" s="672"/>
      <c r="OIK31" s="672"/>
      <c r="OIL31" s="672"/>
      <c r="OIM31" s="672"/>
      <c r="OIN31" s="672"/>
      <c r="OIO31" s="672"/>
      <c r="OIP31" s="672"/>
      <c r="OIQ31" s="672"/>
      <c r="OIR31" s="672"/>
      <c r="OIS31" s="672"/>
      <c r="OIT31" s="672"/>
      <c r="OIU31" s="672"/>
      <c r="OIV31" s="672"/>
      <c r="OIW31" s="672"/>
      <c r="OIX31" s="672"/>
      <c r="OIY31" s="672"/>
      <c r="OIZ31" s="672"/>
      <c r="OJA31" s="672"/>
      <c r="OJB31" s="672"/>
      <c r="OJC31" s="672"/>
      <c r="OJD31" s="672"/>
      <c r="OJE31" s="672"/>
      <c r="OJF31" s="672"/>
      <c r="OJG31" s="672"/>
      <c r="OJH31" s="672"/>
      <c r="OJI31" s="672"/>
      <c r="OJJ31" s="672"/>
      <c r="OJK31" s="672"/>
      <c r="OJL31" s="672"/>
      <c r="OJM31" s="672"/>
      <c r="OJN31" s="672"/>
      <c r="OJO31" s="672"/>
      <c r="OJP31" s="672"/>
      <c r="OJQ31" s="672"/>
      <c r="OJR31" s="672"/>
      <c r="OJS31" s="672"/>
      <c r="OJT31" s="672"/>
      <c r="OJU31" s="672"/>
      <c r="OJV31" s="672"/>
      <c r="OJW31" s="672"/>
      <c r="OJX31" s="672"/>
      <c r="OJY31" s="672"/>
      <c r="OJZ31" s="672"/>
      <c r="OKA31" s="672"/>
      <c r="OKB31" s="672"/>
      <c r="OKC31" s="672"/>
      <c r="OKD31" s="672"/>
      <c r="OKE31" s="672"/>
      <c r="OKF31" s="672"/>
      <c r="OKG31" s="672"/>
      <c r="OKH31" s="672"/>
      <c r="OKI31" s="672"/>
      <c r="OKJ31" s="672"/>
      <c r="OKK31" s="672"/>
      <c r="OKL31" s="672"/>
      <c r="OKM31" s="672"/>
      <c r="OKN31" s="672"/>
      <c r="OKO31" s="672"/>
      <c r="OKP31" s="672"/>
      <c r="OKQ31" s="672"/>
      <c r="OKR31" s="672"/>
      <c r="OKS31" s="672"/>
      <c r="OKT31" s="672"/>
      <c r="OKU31" s="672"/>
      <c r="OKV31" s="672"/>
      <c r="OKW31" s="672"/>
      <c r="OKX31" s="672"/>
      <c r="OKY31" s="672"/>
      <c r="OKZ31" s="672"/>
      <c r="OLA31" s="672"/>
      <c r="OLB31" s="672"/>
      <c r="OLC31" s="672"/>
      <c r="OLD31" s="672"/>
      <c r="OLE31" s="672"/>
      <c r="OLF31" s="672"/>
      <c r="OLG31" s="672"/>
      <c r="OLH31" s="672"/>
      <c r="OLI31" s="672"/>
      <c r="OLJ31" s="672"/>
      <c r="OLK31" s="672"/>
      <c r="OLL31" s="672"/>
      <c r="OLM31" s="672"/>
      <c r="OLN31" s="672"/>
      <c r="OLO31" s="672"/>
      <c r="OLP31" s="672"/>
      <c r="OLQ31" s="672"/>
      <c r="OLR31" s="672"/>
      <c r="OLS31" s="672"/>
      <c r="OLT31" s="672"/>
      <c r="OLU31" s="672"/>
      <c r="OLV31" s="672"/>
      <c r="OLW31" s="672"/>
      <c r="OLX31" s="672"/>
      <c r="OLY31" s="672"/>
      <c r="OLZ31" s="672"/>
      <c r="OMA31" s="672"/>
      <c r="OMB31" s="672"/>
      <c r="OMC31" s="672"/>
      <c r="OMD31" s="672"/>
      <c r="OME31" s="672"/>
      <c r="OMF31" s="672"/>
      <c r="OMG31" s="672"/>
      <c r="OMH31" s="672"/>
      <c r="OMI31" s="672"/>
      <c r="OMJ31" s="672"/>
      <c r="OMK31" s="672"/>
      <c r="OML31" s="672"/>
      <c r="OMM31" s="672"/>
      <c r="OMN31" s="672"/>
      <c r="OMO31" s="672"/>
      <c r="OMP31" s="672"/>
      <c r="OMQ31" s="672"/>
      <c r="OMR31" s="672"/>
      <c r="OMS31" s="672"/>
      <c r="OMT31" s="672"/>
      <c r="OMU31" s="672"/>
      <c r="OMV31" s="672"/>
      <c r="OMW31" s="672"/>
      <c r="OMX31" s="672"/>
      <c r="OMY31" s="672"/>
      <c r="OMZ31" s="672"/>
      <c r="ONA31" s="672"/>
      <c r="ONB31" s="672"/>
      <c r="ONC31" s="672"/>
      <c r="OND31" s="672"/>
      <c r="ONE31" s="672"/>
      <c r="ONF31" s="672"/>
      <c r="ONG31" s="672"/>
      <c r="ONH31" s="672"/>
      <c r="ONI31" s="672"/>
      <c r="ONJ31" s="672"/>
      <c r="ONK31" s="672"/>
      <c r="ONL31" s="672"/>
      <c r="ONM31" s="672"/>
      <c r="ONN31" s="672"/>
      <c r="ONO31" s="672"/>
      <c r="ONP31" s="672"/>
      <c r="ONQ31" s="672"/>
      <c r="ONR31" s="672"/>
      <c r="ONS31" s="672"/>
      <c r="ONT31" s="672"/>
      <c r="ONU31" s="672"/>
      <c r="ONV31" s="672"/>
      <c r="ONW31" s="672"/>
      <c r="ONX31" s="672"/>
      <c r="ONY31" s="672"/>
      <c r="ONZ31" s="672"/>
      <c r="OOA31" s="672"/>
      <c r="OOB31" s="672"/>
      <c r="OOC31" s="672"/>
      <c r="OOD31" s="672"/>
      <c r="OOE31" s="672"/>
      <c r="OOF31" s="672"/>
      <c r="OOG31" s="672"/>
      <c r="OOH31" s="672"/>
      <c r="OOI31" s="672"/>
      <c r="OOJ31" s="672"/>
      <c r="OOK31" s="672"/>
      <c r="OOL31" s="672"/>
      <c r="OOM31" s="672"/>
      <c r="OON31" s="672"/>
      <c r="OOO31" s="672"/>
      <c r="OOP31" s="672"/>
      <c r="OOQ31" s="672"/>
      <c r="OOR31" s="672"/>
      <c r="OOS31" s="672"/>
      <c r="OOT31" s="672"/>
      <c r="OOU31" s="672"/>
      <c r="OOV31" s="672"/>
      <c r="OOW31" s="672"/>
      <c r="OOX31" s="672"/>
      <c r="OOY31" s="672"/>
      <c r="OOZ31" s="672"/>
      <c r="OPA31" s="672"/>
      <c r="OPB31" s="672"/>
      <c r="OPC31" s="672"/>
      <c r="OPD31" s="672"/>
      <c r="OPE31" s="672"/>
      <c r="OPF31" s="672"/>
      <c r="OPG31" s="672"/>
      <c r="OPH31" s="672"/>
      <c r="OPI31" s="672"/>
      <c r="OPJ31" s="672"/>
      <c r="OPK31" s="672"/>
      <c r="OPL31" s="672"/>
      <c r="OPM31" s="672"/>
      <c r="OPN31" s="672"/>
      <c r="OPO31" s="672"/>
      <c r="OPP31" s="672"/>
      <c r="OPQ31" s="672"/>
      <c r="OPR31" s="672"/>
      <c r="OPS31" s="672"/>
      <c r="OPT31" s="672"/>
      <c r="OPU31" s="672"/>
      <c r="OPV31" s="672"/>
      <c r="OPW31" s="672"/>
      <c r="OPX31" s="672"/>
      <c r="OPY31" s="672"/>
      <c r="OPZ31" s="672"/>
      <c r="OQA31" s="672"/>
      <c r="OQB31" s="672"/>
      <c r="OQC31" s="672"/>
      <c r="OQD31" s="672"/>
      <c r="OQE31" s="672"/>
      <c r="OQF31" s="672"/>
      <c r="OQG31" s="672"/>
      <c r="OQH31" s="672"/>
      <c r="OQI31" s="672"/>
      <c r="OQJ31" s="672"/>
      <c r="OQK31" s="672"/>
      <c r="OQL31" s="672"/>
      <c r="OQM31" s="672"/>
      <c r="OQN31" s="672"/>
      <c r="OQO31" s="672"/>
      <c r="OQP31" s="672"/>
      <c r="OQQ31" s="672"/>
      <c r="OQR31" s="672"/>
      <c r="OQS31" s="672"/>
      <c r="OQT31" s="672"/>
      <c r="OQU31" s="672"/>
      <c r="OQV31" s="672"/>
      <c r="OQW31" s="672"/>
      <c r="OQX31" s="672"/>
      <c r="OQY31" s="672"/>
      <c r="OQZ31" s="672"/>
      <c r="ORA31" s="672"/>
      <c r="ORB31" s="672"/>
      <c r="ORC31" s="672"/>
      <c r="ORD31" s="672"/>
      <c r="ORE31" s="672"/>
      <c r="ORF31" s="672"/>
      <c r="ORG31" s="672"/>
      <c r="ORH31" s="672"/>
      <c r="ORI31" s="672"/>
      <c r="ORJ31" s="672"/>
      <c r="ORK31" s="672"/>
      <c r="ORL31" s="672"/>
      <c r="ORM31" s="672"/>
      <c r="ORN31" s="672"/>
      <c r="ORO31" s="672"/>
      <c r="ORP31" s="672"/>
      <c r="ORQ31" s="672"/>
      <c r="ORR31" s="672"/>
      <c r="ORS31" s="672"/>
      <c r="ORT31" s="672"/>
      <c r="ORU31" s="672"/>
      <c r="ORV31" s="672"/>
      <c r="ORW31" s="672"/>
      <c r="ORX31" s="672"/>
      <c r="ORY31" s="672"/>
      <c r="ORZ31" s="672"/>
      <c r="OSA31" s="672"/>
      <c r="OSB31" s="672"/>
      <c r="OSC31" s="672"/>
      <c r="OSD31" s="672"/>
      <c r="OSE31" s="672"/>
      <c r="OSF31" s="672"/>
      <c r="OSG31" s="672"/>
      <c r="OSH31" s="672"/>
      <c r="OSI31" s="672"/>
      <c r="OSJ31" s="672"/>
      <c r="OSK31" s="672"/>
      <c r="OSL31" s="672"/>
      <c r="OSM31" s="672"/>
      <c r="OSN31" s="672"/>
      <c r="OSO31" s="672"/>
      <c r="OSP31" s="672"/>
      <c r="OSQ31" s="672"/>
      <c r="OSR31" s="672"/>
      <c r="OSS31" s="672"/>
      <c r="OST31" s="672"/>
      <c r="OSU31" s="672"/>
      <c r="OSV31" s="672"/>
      <c r="OSW31" s="672"/>
      <c r="OSX31" s="672"/>
      <c r="OSY31" s="672"/>
      <c r="OSZ31" s="672"/>
      <c r="OTA31" s="672"/>
      <c r="OTB31" s="672"/>
      <c r="OTC31" s="672"/>
      <c r="OTD31" s="672"/>
      <c r="OTE31" s="672"/>
      <c r="OTF31" s="672"/>
      <c r="OTG31" s="672"/>
      <c r="OTH31" s="672"/>
      <c r="OTI31" s="672"/>
      <c r="OTJ31" s="672"/>
      <c r="OTK31" s="672"/>
      <c r="OTL31" s="672"/>
      <c r="OTM31" s="672"/>
      <c r="OTN31" s="672"/>
      <c r="OTO31" s="672"/>
      <c r="OTP31" s="672"/>
      <c r="OTQ31" s="672"/>
      <c r="OTR31" s="672"/>
      <c r="OTS31" s="672"/>
      <c r="OTT31" s="672"/>
      <c r="OTU31" s="672"/>
      <c r="OTV31" s="672"/>
      <c r="OTW31" s="672"/>
      <c r="OTX31" s="672"/>
      <c r="OTY31" s="672"/>
      <c r="OTZ31" s="672"/>
      <c r="OUA31" s="672"/>
      <c r="OUB31" s="672"/>
      <c r="OUC31" s="672"/>
      <c r="OUD31" s="672"/>
      <c r="OUE31" s="672"/>
      <c r="OUF31" s="672"/>
      <c r="OUG31" s="672"/>
      <c r="OUH31" s="672"/>
      <c r="OUI31" s="672"/>
      <c r="OUJ31" s="672"/>
      <c r="OUK31" s="672"/>
      <c r="OUL31" s="672"/>
      <c r="OUM31" s="672"/>
      <c r="OUN31" s="672"/>
      <c r="OUO31" s="672"/>
      <c r="OUP31" s="672"/>
      <c r="OUQ31" s="672"/>
      <c r="OUR31" s="672"/>
      <c r="OUS31" s="672"/>
      <c r="OUT31" s="672"/>
      <c r="OUU31" s="672"/>
      <c r="OUV31" s="672"/>
      <c r="OUW31" s="672"/>
      <c r="OUX31" s="672"/>
      <c r="OUY31" s="672"/>
      <c r="OUZ31" s="672"/>
      <c r="OVA31" s="672"/>
      <c r="OVB31" s="672"/>
      <c r="OVC31" s="672"/>
      <c r="OVD31" s="672"/>
      <c r="OVE31" s="672"/>
      <c r="OVF31" s="672"/>
      <c r="OVG31" s="672"/>
      <c r="OVH31" s="672"/>
      <c r="OVI31" s="672"/>
      <c r="OVJ31" s="672"/>
      <c r="OVK31" s="672"/>
      <c r="OVL31" s="672"/>
      <c r="OVM31" s="672"/>
      <c r="OVN31" s="672"/>
      <c r="OVO31" s="672"/>
      <c r="OVP31" s="672"/>
      <c r="OVQ31" s="672"/>
      <c r="OVR31" s="672"/>
      <c r="OVS31" s="672"/>
      <c r="OVT31" s="672"/>
      <c r="OVU31" s="672"/>
      <c r="OVV31" s="672"/>
      <c r="OVW31" s="672"/>
      <c r="OVX31" s="672"/>
      <c r="OVY31" s="672"/>
      <c r="OVZ31" s="672"/>
      <c r="OWA31" s="672"/>
      <c r="OWB31" s="672"/>
      <c r="OWC31" s="672"/>
      <c r="OWD31" s="672"/>
      <c r="OWE31" s="672"/>
      <c r="OWF31" s="672"/>
      <c r="OWG31" s="672"/>
      <c r="OWH31" s="672"/>
      <c r="OWI31" s="672"/>
      <c r="OWJ31" s="672"/>
      <c r="OWK31" s="672"/>
      <c r="OWL31" s="672"/>
      <c r="OWM31" s="672"/>
      <c r="OWN31" s="672"/>
      <c r="OWO31" s="672"/>
      <c r="OWP31" s="672"/>
      <c r="OWQ31" s="672"/>
      <c r="OWR31" s="672"/>
      <c r="OWS31" s="672"/>
      <c r="OWT31" s="672"/>
      <c r="OWU31" s="672"/>
      <c r="OWV31" s="672"/>
      <c r="OWW31" s="672"/>
      <c r="OWX31" s="672"/>
      <c r="OWY31" s="672"/>
      <c r="OWZ31" s="672"/>
      <c r="OXA31" s="672"/>
      <c r="OXB31" s="672"/>
      <c r="OXC31" s="672"/>
      <c r="OXD31" s="672"/>
      <c r="OXE31" s="672"/>
      <c r="OXF31" s="672"/>
      <c r="OXG31" s="672"/>
      <c r="OXH31" s="672"/>
      <c r="OXI31" s="672"/>
      <c r="OXJ31" s="672"/>
      <c r="OXK31" s="672"/>
      <c r="OXL31" s="672"/>
      <c r="OXM31" s="672"/>
      <c r="OXN31" s="672"/>
      <c r="OXO31" s="672"/>
      <c r="OXP31" s="672"/>
      <c r="OXQ31" s="672"/>
      <c r="OXR31" s="672"/>
      <c r="OXS31" s="672"/>
      <c r="OXT31" s="672"/>
      <c r="OXU31" s="672"/>
      <c r="OXV31" s="672"/>
      <c r="OXW31" s="672"/>
      <c r="OXX31" s="672"/>
      <c r="OXY31" s="672"/>
      <c r="OXZ31" s="672"/>
      <c r="OYA31" s="672"/>
      <c r="OYB31" s="672"/>
      <c r="OYC31" s="672"/>
      <c r="OYD31" s="672"/>
      <c r="OYE31" s="672"/>
      <c r="OYF31" s="672"/>
      <c r="OYG31" s="672"/>
      <c r="OYH31" s="672"/>
      <c r="OYI31" s="672"/>
      <c r="OYJ31" s="672"/>
      <c r="OYK31" s="672"/>
      <c r="OYL31" s="672"/>
      <c r="OYM31" s="672"/>
      <c r="OYN31" s="672"/>
      <c r="OYO31" s="672"/>
      <c r="OYP31" s="672"/>
      <c r="OYQ31" s="672"/>
      <c r="OYR31" s="672"/>
      <c r="OYS31" s="672"/>
      <c r="OYT31" s="672"/>
      <c r="OYU31" s="672"/>
      <c r="OYV31" s="672"/>
      <c r="OYW31" s="672"/>
      <c r="OYX31" s="672"/>
      <c r="OYY31" s="672"/>
      <c r="OYZ31" s="672"/>
      <c r="OZA31" s="672"/>
      <c r="OZB31" s="672"/>
      <c r="OZC31" s="672"/>
      <c r="OZD31" s="672"/>
      <c r="OZE31" s="672"/>
      <c r="OZF31" s="672"/>
      <c r="OZG31" s="672"/>
      <c r="OZH31" s="672"/>
      <c r="OZI31" s="672"/>
      <c r="OZJ31" s="672"/>
      <c r="OZK31" s="672"/>
      <c r="OZL31" s="672"/>
      <c r="OZM31" s="672"/>
      <c r="OZN31" s="672"/>
      <c r="OZO31" s="672"/>
      <c r="OZP31" s="672"/>
      <c r="OZQ31" s="672"/>
      <c r="OZR31" s="672"/>
      <c r="OZS31" s="672"/>
      <c r="OZT31" s="672"/>
      <c r="OZU31" s="672"/>
      <c r="OZV31" s="672"/>
      <c r="OZW31" s="672"/>
      <c r="OZX31" s="672"/>
      <c r="OZY31" s="672"/>
      <c r="OZZ31" s="672"/>
      <c r="PAA31" s="672"/>
      <c r="PAB31" s="672"/>
      <c r="PAC31" s="672"/>
      <c r="PAD31" s="672"/>
      <c r="PAE31" s="672"/>
      <c r="PAF31" s="672"/>
      <c r="PAG31" s="672"/>
      <c r="PAH31" s="672"/>
      <c r="PAI31" s="672"/>
      <c r="PAJ31" s="672"/>
      <c r="PAK31" s="672"/>
      <c r="PAL31" s="672"/>
      <c r="PAM31" s="672"/>
      <c r="PAN31" s="672"/>
      <c r="PAO31" s="672"/>
      <c r="PAP31" s="672"/>
      <c r="PAQ31" s="672"/>
      <c r="PAR31" s="672"/>
      <c r="PAS31" s="672"/>
      <c r="PAT31" s="672"/>
      <c r="PAU31" s="672"/>
      <c r="PAV31" s="672"/>
      <c r="PAW31" s="672"/>
      <c r="PAX31" s="672"/>
      <c r="PAY31" s="672"/>
      <c r="PAZ31" s="672"/>
      <c r="PBA31" s="672"/>
      <c r="PBB31" s="672"/>
      <c r="PBC31" s="672"/>
      <c r="PBD31" s="672"/>
      <c r="PBE31" s="672"/>
      <c r="PBF31" s="672"/>
      <c r="PBG31" s="672"/>
      <c r="PBH31" s="672"/>
      <c r="PBI31" s="672"/>
      <c r="PBJ31" s="672"/>
      <c r="PBK31" s="672"/>
      <c r="PBL31" s="672"/>
      <c r="PBM31" s="672"/>
      <c r="PBN31" s="672"/>
      <c r="PBO31" s="672"/>
      <c r="PBP31" s="672"/>
      <c r="PBQ31" s="672"/>
      <c r="PBR31" s="672"/>
      <c r="PBS31" s="672"/>
      <c r="PBT31" s="672"/>
      <c r="PBU31" s="672"/>
      <c r="PBV31" s="672"/>
      <c r="PBW31" s="672"/>
      <c r="PBX31" s="672"/>
      <c r="PBY31" s="672"/>
      <c r="PBZ31" s="672"/>
      <c r="PCA31" s="672"/>
      <c r="PCB31" s="672"/>
      <c r="PCC31" s="672"/>
      <c r="PCD31" s="672"/>
      <c r="PCE31" s="672"/>
      <c r="PCF31" s="672"/>
      <c r="PCG31" s="672"/>
      <c r="PCH31" s="672"/>
      <c r="PCI31" s="672"/>
      <c r="PCJ31" s="672"/>
      <c r="PCK31" s="672"/>
      <c r="PCL31" s="672"/>
      <c r="PCM31" s="672"/>
      <c r="PCN31" s="672"/>
      <c r="PCO31" s="672"/>
      <c r="PCP31" s="672"/>
      <c r="PCQ31" s="672"/>
      <c r="PCR31" s="672"/>
      <c r="PCS31" s="672"/>
      <c r="PCT31" s="672"/>
      <c r="PCU31" s="672"/>
      <c r="PCV31" s="672"/>
      <c r="PCW31" s="672"/>
      <c r="PCX31" s="672"/>
      <c r="PCY31" s="672"/>
      <c r="PCZ31" s="672"/>
      <c r="PDA31" s="672"/>
      <c r="PDB31" s="672"/>
      <c r="PDC31" s="672"/>
      <c r="PDD31" s="672"/>
      <c r="PDE31" s="672"/>
      <c r="PDF31" s="672"/>
      <c r="PDG31" s="672"/>
      <c r="PDH31" s="672"/>
      <c r="PDI31" s="672"/>
      <c r="PDJ31" s="672"/>
      <c r="PDK31" s="672"/>
      <c r="PDL31" s="672"/>
      <c r="PDM31" s="672"/>
      <c r="PDN31" s="672"/>
      <c r="PDO31" s="672"/>
      <c r="PDP31" s="672"/>
      <c r="PDQ31" s="672"/>
      <c r="PDR31" s="672"/>
      <c r="PDS31" s="672"/>
      <c r="PDT31" s="672"/>
      <c r="PDU31" s="672"/>
      <c r="PDV31" s="672"/>
      <c r="PDW31" s="672"/>
      <c r="PDX31" s="672"/>
      <c r="PDY31" s="672"/>
      <c r="PDZ31" s="672"/>
      <c r="PEA31" s="672"/>
      <c r="PEB31" s="672"/>
      <c r="PEC31" s="672"/>
      <c r="PED31" s="672"/>
      <c r="PEE31" s="672"/>
      <c r="PEF31" s="672"/>
      <c r="PEG31" s="672"/>
      <c r="PEH31" s="672"/>
      <c r="PEI31" s="672"/>
      <c r="PEJ31" s="672"/>
      <c r="PEK31" s="672"/>
      <c r="PEL31" s="672"/>
      <c r="PEM31" s="672"/>
      <c r="PEN31" s="672"/>
      <c r="PEO31" s="672"/>
      <c r="PEP31" s="672"/>
      <c r="PEQ31" s="672"/>
      <c r="PER31" s="672"/>
      <c r="PES31" s="672"/>
      <c r="PET31" s="672"/>
      <c r="PEU31" s="672"/>
      <c r="PEV31" s="672"/>
      <c r="PEW31" s="672"/>
      <c r="PEX31" s="672"/>
      <c r="PEY31" s="672"/>
      <c r="PEZ31" s="672"/>
      <c r="PFA31" s="672"/>
      <c r="PFB31" s="672"/>
      <c r="PFC31" s="672"/>
      <c r="PFD31" s="672"/>
      <c r="PFE31" s="672"/>
      <c r="PFF31" s="672"/>
      <c r="PFG31" s="672"/>
      <c r="PFH31" s="672"/>
      <c r="PFI31" s="672"/>
      <c r="PFJ31" s="672"/>
      <c r="PFK31" s="672"/>
      <c r="PFL31" s="672"/>
      <c r="PFM31" s="672"/>
      <c r="PFN31" s="672"/>
      <c r="PFO31" s="672"/>
      <c r="PFP31" s="672"/>
      <c r="PFQ31" s="672"/>
      <c r="PFR31" s="672"/>
      <c r="PFS31" s="672"/>
      <c r="PFT31" s="672"/>
      <c r="PFU31" s="672"/>
      <c r="PFV31" s="672"/>
      <c r="PFW31" s="672"/>
      <c r="PFX31" s="672"/>
      <c r="PFY31" s="672"/>
      <c r="PFZ31" s="672"/>
      <c r="PGA31" s="672"/>
      <c r="PGB31" s="672"/>
      <c r="PGC31" s="672"/>
      <c r="PGD31" s="672"/>
      <c r="PGE31" s="672"/>
      <c r="PGF31" s="672"/>
      <c r="PGG31" s="672"/>
      <c r="PGH31" s="672"/>
      <c r="PGI31" s="672"/>
      <c r="PGJ31" s="672"/>
      <c r="PGK31" s="672"/>
      <c r="PGL31" s="672"/>
      <c r="PGM31" s="672"/>
      <c r="PGN31" s="672"/>
      <c r="PGO31" s="672"/>
      <c r="PGP31" s="672"/>
      <c r="PGQ31" s="672"/>
      <c r="PGR31" s="672"/>
      <c r="PGS31" s="672"/>
      <c r="PGT31" s="672"/>
      <c r="PGU31" s="672"/>
      <c r="PGV31" s="672"/>
      <c r="PGW31" s="672"/>
      <c r="PGX31" s="672"/>
      <c r="PGY31" s="672"/>
      <c r="PGZ31" s="672"/>
      <c r="PHA31" s="672"/>
      <c r="PHB31" s="672"/>
      <c r="PHC31" s="672"/>
      <c r="PHD31" s="672"/>
      <c r="PHE31" s="672"/>
      <c r="PHF31" s="672"/>
      <c r="PHG31" s="672"/>
      <c r="PHH31" s="672"/>
      <c r="PHI31" s="672"/>
      <c r="PHJ31" s="672"/>
      <c r="PHK31" s="672"/>
      <c r="PHL31" s="672"/>
      <c r="PHM31" s="672"/>
      <c r="PHN31" s="672"/>
      <c r="PHO31" s="672"/>
      <c r="PHP31" s="672"/>
      <c r="PHQ31" s="672"/>
      <c r="PHR31" s="672"/>
      <c r="PHS31" s="672"/>
      <c r="PHT31" s="672"/>
      <c r="PHU31" s="672"/>
      <c r="PHV31" s="672"/>
      <c r="PHW31" s="672"/>
      <c r="PHX31" s="672"/>
      <c r="PHY31" s="672"/>
      <c r="PHZ31" s="672"/>
      <c r="PIA31" s="672"/>
      <c r="PIB31" s="672"/>
      <c r="PIC31" s="672"/>
      <c r="PID31" s="672"/>
      <c r="PIE31" s="672"/>
      <c r="PIF31" s="672"/>
      <c r="PIG31" s="672"/>
      <c r="PIH31" s="672"/>
      <c r="PII31" s="672"/>
      <c r="PIJ31" s="672"/>
      <c r="PIK31" s="672"/>
      <c r="PIL31" s="672"/>
      <c r="PIM31" s="672"/>
      <c r="PIN31" s="672"/>
      <c r="PIO31" s="672"/>
      <c r="PIP31" s="672"/>
      <c r="PIQ31" s="672"/>
      <c r="PIR31" s="672"/>
      <c r="PIS31" s="672"/>
      <c r="PIT31" s="672"/>
      <c r="PIU31" s="672"/>
      <c r="PIV31" s="672"/>
      <c r="PIW31" s="672"/>
      <c r="PIX31" s="672"/>
      <c r="PIY31" s="672"/>
      <c r="PIZ31" s="672"/>
      <c r="PJA31" s="672"/>
      <c r="PJB31" s="672"/>
      <c r="PJC31" s="672"/>
      <c r="PJD31" s="672"/>
      <c r="PJE31" s="672"/>
      <c r="PJF31" s="672"/>
      <c r="PJG31" s="672"/>
      <c r="PJH31" s="672"/>
      <c r="PJI31" s="672"/>
      <c r="PJJ31" s="672"/>
      <c r="PJK31" s="672"/>
      <c r="PJL31" s="672"/>
      <c r="PJM31" s="672"/>
      <c r="PJN31" s="672"/>
      <c r="PJO31" s="672"/>
      <c r="PJP31" s="672"/>
      <c r="PJQ31" s="672"/>
      <c r="PJR31" s="672"/>
      <c r="PJS31" s="672"/>
      <c r="PJT31" s="672"/>
      <c r="PJU31" s="672"/>
      <c r="PJV31" s="672"/>
      <c r="PJW31" s="672"/>
      <c r="PJX31" s="672"/>
      <c r="PJY31" s="672"/>
      <c r="PJZ31" s="672"/>
      <c r="PKA31" s="672"/>
      <c r="PKB31" s="672"/>
      <c r="PKC31" s="672"/>
      <c r="PKD31" s="672"/>
      <c r="PKE31" s="672"/>
      <c r="PKF31" s="672"/>
      <c r="PKG31" s="672"/>
      <c r="PKH31" s="672"/>
      <c r="PKI31" s="672"/>
      <c r="PKJ31" s="672"/>
      <c r="PKK31" s="672"/>
      <c r="PKL31" s="672"/>
      <c r="PKM31" s="672"/>
      <c r="PKN31" s="672"/>
      <c r="PKO31" s="672"/>
      <c r="PKP31" s="672"/>
      <c r="PKQ31" s="672"/>
      <c r="PKR31" s="672"/>
      <c r="PKS31" s="672"/>
      <c r="PKT31" s="672"/>
      <c r="PKU31" s="672"/>
      <c r="PKV31" s="672"/>
      <c r="PKW31" s="672"/>
      <c r="PKX31" s="672"/>
      <c r="PKY31" s="672"/>
      <c r="PKZ31" s="672"/>
      <c r="PLA31" s="672"/>
      <c r="PLB31" s="672"/>
      <c r="PLC31" s="672"/>
      <c r="PLD31" s="672"/>
      <c r="PLE31" s="672"/>
      <c r="PLF31" s="672"/>
      <c r="PLG31" s="672"/>
      <c r="PLH31" s="672"/>
      <c r="PLI31" s="672"/>
      <c r="PLJ31" s="672"/>
      <c r="PLK31" s="672"/>
      <c r="PLL31" s="672"/>
      <c r="PLM31" s="672"/>
      <c r="PLN31" s="672"/>
      <c r="PLO31" s="672"/>
      <c r="PLP31" s="672"/>
      <c r="PLQ31" s="672"/>
      <c r="PLR31" s="672"/>
      <c r="PLS31" s="672"/>
      <c r="PLT31" s="672"/>
      <c r="PLU31" s="672"/>
      <c r="PLV31" s="672"/>
      <c r="PLW31" s="672"/>
      <c r="PLX31" s="672"/>
      <c r="PLY31" s="672"/>
      <c r="PLZ31" s="672"/>
      <c r="PMA31" s="672"/>
      <c r="PMB31" s="672"/>
      <c r="PMC31" s="672"/>
      <c r="PMD31" s="672"/>
      <c r="PME31" s="672"/>
      <c r="PMF31" s="672"/>
      <c r="PMG31" s="672"/>
      <c r="PMH31" s="672"/>
      <c r="PMI31" s="672"/>
      <c r="PMJ31" s="672"/>
      <c r="PMK31" s="672"/>
      <c r="PML31" s="672"/>
      <c r="PMM31" s="672"/>
      <c r="PMN31" s="672"/>
      <c r="PMO31" s="672"/>
      <c r="PMP31" s="672"/>
      <c r="PMQ31" s="672"/>
      <c r="PMR31" s="672"/>
      <c r="PMS31" s="672"/>
      <c r="PMT31" s="672"/>
      <c r="PMU31" s="672"/>
      <c r="PMV31" s="672"/>
      <c r="PMW31" s="672"/>
      <c r="PMX31" s="672"/>
      <c r="PMY31" s="672"/>
      <c r="PMZ31" s="672"/>
      <c r="PNA31" s="672"/>
      <c r="PNB31" s="672"/>
      <c r="PNC31" s="672"/>
      <c r="PND31" s="672"/>
      <c r="PNE31" s="672"/>
      <c r="PNF31" s="672"/>
      <c r="PNG31" s="672"/>
      <c r="PNH31" s="672"/>
      <c r="PNI31" s="672"/>
      <c r="PNJ31" s="672"/>
      <c r="PNK31" s="672"/>
      <c r="PNL31" s="672"/>
      <c r="PNM31" s="672"/>
      <c r="PNN31" s="672"/>
      <c r="PNO31" s="672"/>
      <c r="PNP31" s="672"/>
      <c r="PNQ31" s="672"/>
      <c r="PNR31" s="672"/>
      <c r="PNS31" s="672"/>
      <c r="PNT31" s="672"/>
      <c r="PNU31" s="672"/>
      <c r="PNV31" s="672"/>
      <c r="PNW31" s="672"/>
      <c r="PNX31" s="672"/>
      <c r="PNY31" s="672"/>
      <c r="PNZ31" s="672"/>
      <c r="POA31" s="672"/>
      <c r="POB31" s="672"/>
      <c r="POC31" s="672"/>
      <c r="POD31" s="672"/>
      <c r="POE31" s="672"/>
      <c r="POF31" s="672"/>
      <c r="POG31" s="672"/>
      <c r="POH31" s="672"/>
      <c r="POI31" s="672"/>
      <c r="POJ31" s="672"/>
      <c r="POK31" s="672"/>
      <c r="POL31" s="672"/>
      <c r="POM31" s="672"/>
      <c r="PON31" s="672"/>
      <c r="POO31" s="672"/>
      <c r="POP31" s="672"/>
      <c r="POQ31" s="672"/>
      <c r="POR31" s="672"/>
      <c r="POS31" s="672"/>
      <c r="POT31" s="672"/>
      <c r="POU31" s="672"/>
      <c r="POV31" s="672"/>
      <c r="POW31" s="672"/>
      <c r="POX31" s="672"/>
      <c r="POY31" s="672"/>
      <c r="POZ31" s="672"/>
      <c r="PPA31" s="672"/>
      <c r="PPB31" s="672"/>
      <c r="PPC31" s="672"/>
      <c r="PPD31" s="672"/>
      <c r="PPE31" s="672"/>
      <c r="PPF31" s="672"/>
      <c r="PPG31" s="672"/>
      <c r="PPH31" s="672"/>
      <c r="PPI31" s="672"/>
      <c r="PPJ31" s="672"/>
      <c r="PPK31" s="672"/>
      <c r="PPL31" s="672"/>
      <c r="PPM31" s="672"/>
      <c r="PPN31" s="672"/>
      <c r="PPO31" s="672"/>
      <c r="PPP31" s="672"/>
      <c r="PPQ31" s="672"/>
      <c r="PPR31" s="672"/>
      <c r="PPS31" s="672"/>
      <c r="PPT31" s="672"/>
      <c r="PPU31" s="672"/>
      <c r="PPV31" s="672"/>
      <c r="PPW31" s="672"/>
      <c r="PPX31" s="672"/>
      <c r="PPY31" s="672"/>
      <c r="PPZ31" s="672"/>
      <c r="PQA31" s="672"/>
      <c r="PQB31" s="672"/>
      <c r="PQC31" s="672"/>
      <c r="PQD31" s="672"/>
      <c r="PQE31" s="672"/>
      <c r="PQF31" s="672"/>
      <c r="PQG31" s="672"/>
      <c r="PQH31" s="672"/>
      <c r="PQI31" s="672"/>
      <c r="PQJ31" s="672"/>
      <c r="PQK31" s="672"/>
      <c r="PQL31" s="672"/>
      <c r="PQM31" s="672"/>
      <c r="PQN31" s="672"/>
      <c r="PQO31" s="672"/>
      <c r="PQP31" s="672"/>
      <c r="PQQ31" s="672"/>
      <c r="PQR31" s="672"/>
      <c r="PQS31" s="672"/>
      <c r="PQT31" s="672"/>
      <c r="PQU31" s="672"/>
      <c r="PQV31" s="672"/>
      <c r="PQW31" s="672"/>
      <c r="PQX31" s="672"/>
      <c r="PQY31" s="672"/>
      <c r="PQZ31" s="672"/>
      <c r="PRA31" s="672"/>
      <c r="PRB31" s="672"/>
      <c r="PRC31" s="672"/>
      <c r="PRD31" s="672"/>
      <c r="PRE31" s="672"/>
      <c r="PRF31" s="672"/>
      <c r="PRG31" s="672"/>
      <c r="PRH31" s="672"/>
      <c r="PRI31" s="672"/>
      <c r="PRJ31" s="672"/>
      <c r="PRK31" s="672"/>
      <c r="PRL31" s="672"/>
      <c r="PRM31" s="672"/>
      <c r="PRN31" s="672"/>
      <c r="PRO31" s="672"/>
      <c r="PRP31" s="672"/>
      <c r="PRQ31" s="672"/>
      <c r="PRR31" s="672"/>
      <c r="PRS31" s="672"/>
      <c r="PRT31" s="672"/>
      <c r="PRU31" s="672"/>
      <c r="PRV31" s="672"/>
      <c r="PRW31" s="672"/>
      <c r="PRX31" s="672"/>
      <c r="PRY31" s="672"/>
      <c r="PRZ31" s="672"/>
      <c r="PSA31" s="672"/>
      <c r="PSB31" s="672"/>
      <c r="PSC31" s="672"/>
      <c r="PSD31" s="672"/>
      <c r="PSE31" s="672"/>
      <c r="PSF31" s="672"/>
      <c r="PSG31" s="672"/>
      <c r="PSH31" s="672"/>
      <c r="PSI31" s="672"/>
      <c r="PSJ31" s="672"/>
      <c r="PSK31" s="672"/>
      <c r="PSL31" s="672"/>
      <c r="PSM31" s="672"/>
      <c r="PSN31" s="672"/>
      <c r="PSO31" s="672"/>
      <c r="PSP31" s="672"/>
      <c r="PSQ31" s="672"/>
      <c r="PSR31" s="672"/>
      <c r="PSS31" s="672"/>
      <c r="PST31" s="672"/>
      <c r="PSU31" s="672"/>
      <c r="PSV31" s="672"/>
      <c r="PSW31" s="672"/>
      <c r="PSX31" s="672"/>
      <c r="PSY31" s="672"/>
      <c r="PSZ31" s="672"/>
      <c r="PTA31" s="672"/>
      <c r="PTB31" s="672"/>
      <c r="PTC31" s="672"/>
      <c r="PTD31" s="672"/>
      <c r="PTE31" s="672"/>
      <c r="PTF31" s="672"/>
      <c r="PTG31" s="672"/>
      <c r="PTH31" s="672"/>
      <c r="PTI31" s="672"/>
      <c r="PTJ31" s="672"/>
      <c r="PTK31" s="672"/>
      <c r="PTL31" s="672"/>
      <c r="PTM31" s="672"/>
      <c r="PTN31" s="672"/>
      <c r="PTO31" s="672"/>
      <c r="PTP31" s="672"/>
      <c r="PTQ31" s="672"/>
      <c r="PTR31" s="672"/>
      <c r="PTS31" s="672"/>
      <c r="PTT31" s="672"/>
      <c r="PTU31" s="672"/>
      <c r="PTV31" s="672"/>
      <c r="PTW31" s="672"/>
      <c r="PTX31" s="672"/>
      <c r="PTY31" s="672"/>
      <c r="PTZ31" s="672"/>
      <c r="PUA31" s="672"/>
      <c r="PUB31" s="672"/>
      <c r="PUC31" s="672"/>
      <c r="PUD31" s="672"/>
      <c r="PUE31" s="672"/>
      <c r="PUF31" s="672"/>
      <c r="PUG31" s="672"/>
      <c r="PUH31" s="672"/>
      <c r="PUI31" s="672"/>
      <c r="PUJ31" s="672"/>
      <c r="PUK31" s="672"/>
      <c r="PUL31" s="672"/>
      <c r="PUM31" s="672"/>
      <c r="PUN31" s="672"/>
      <c r="PUO31" s="672"/>
      <c r="PUP31" s="672"/>
      <c r="PUQ31" s="672"/>
      <c r="PUR31" s="672"/>
      <c r="PUS31" s="672"/>
      <c r="PUT31" s="672"/>
      <c r="PUU31" s="672"/>
      <c r="PUV31" s="672"/>
      <c r="PUW31" s="672"/>
      <c r="PUX31" s="672"/>
      <c r="PUY31" s="672"/>
      <c r="PUZ31" s="672"/>
      <c r="PVA31" s="672"/>
      <c r="PVB31" s="672"/>
      <c r="PVC31" s="672"/>
      <c r="PVD31" s="672"/>
      <c r="PVE31" s="672"/>
      <c r="PVF31" s="672"/>
      <c r="PVG31" s="672"/>
      <c r="PVH31" s="672"/>
      <c r="PVI31" s="672"/>
      <c r="PVJ31" s="672"/>
      <c r="PVK31" s="672"/>
      <c r="PVL31" s="672"/>
      <c r="PVM31" s="672"/>
      <c r="PVN31" s="672"/>
      <c r="PVO31" s="672"/>
      <c r="PVP31" s="672"/>
      <c r="PVQ31" s="672"/>
      <c r="PVR31" s="672"/>
      <c r="PVS31" s="672"/>
      <c r="PVT31" s="672"/>
      <c r="PVU31" s="672"/>
      <c r="PVV31" s="672"/>
      <c r="PVW31" s="672"/>
      <c r="PVX31" s="672"/>
      <c r="PVY31" s="672"/>
      <c r="PVZ31" s="672"/>
      <c r="PWA31" s="672"/>
      <c r="PWB31" s="672"/>
      <c r="PWC31" s="672"/>
      <c r="PWD31" s="672"/>
      <c r="PWE31" s="672"/>
      <c r="PWF31" s="672"/>
      <c r="PWG31" s="672"/>
      <c r="PWH31" s="672"/>
      <c r="PWI31" s="672"/>
      <c r="PWJ31" s="672"/>
      <c r="PWK31" s="672"/>
      <c r="PWL31" s="672"/>
      <c r="PWM31" s="672"/>
      <c r="PWN31" s="672"/>
      <c r="PWO31" s="672"/>
      <c r="PWP31" s="672"/>
      <c r="PWQ31" s="672"/>
      <c r="PWR31" s="672"/>
      <c r="PWS31" s="672"/>
      <c r="PWT31" s="672"/>
      <c r="PWU31" s="672"/>
      <c r="PWV31" s="672"/>
      <c r="PWW31" s="672"/>
      <c r="PWX31" s="672"/>
      <c r="PWY31" s="672"/>
      <c r="PWZ31" s="672"/>
      <c r="PXA31" s="672"/>
      <c r="PXB31" s="672"/>
      <c r="PXC31" s="672"/>
      <c r="PXD31" s="672"/>
      <c r="PXE31" s="672"/>
      <c r="PXF31" s="672"/>
      <c r="PXG31" s="672"/>
      <c r="PXH31" s="672"/>
      <c r="PXI31" s="672"/>
      <c r="PXJ31" s="672"/>
      <c r="PXK31" s="672"/>
      <c r="PXL31" s="672"/>
      <c r="PXM31" s="672"/>
      <c r="PXN31" s="672"/>
      <c r="PXO31" s="672"/>
      <c r="PXP31" s="672"/>
      <c r="PXQ31" s="672"/>
      <c r="PXR31" s="672"/>
      <c r="PXS31" s="672"/>
      <c r="PXT31" s="672"/>
      <c r="PXU31" s="672"/>
      <c r="PXV31" s="672"/>
      <c r="PXW31" s="672"/>
      <c r="PXX31" s="672"/>
      <c r="PXY31" s="672"/>
      <c r="PXZ31" s="672"/>
      <c r="PYA31" s="672"/>
      <c r="PYB31" s="672"/>
      <c r="PYC31" s="672"/>
      <c r="PYD31" s="672"/>
      <c r="PYE31" s="672"/>
      <c r="PYF31" s="672"/>
      <c r="PYG31" s="672"/>
      <c r="PYH31" s="672"/>
      <c r="PYI31" s="672"/>
      <c r="PYJ31" s="672"/>
      <c r="PYK31" s="672"/>
      <c r="PYL31" s="672"/>
      <c r="PYM31" s="672"/>
      <c r="PYN31" s="672"/>
      <c r="PYO31" s="672"/>
      <c r="PYP31" s="672"/>
      <c r="PYQ31" s="672"/>
      <c r="PYR31" s="672"/>
      <c r="PYS31" s="672"/>
      <c r="PYT31" s="672"/>
      <c r="PYU31" s="672"/>
      <c r="PYV31" s="672"/>
      <c r="PYW31" s="672"/>
      <c r="PYX31" s="672"/>
      <c r="PYY31" s="672"/>
      <c r="PYZ31" s="672"/>
      <c r="PZA31" s="672"/>
      <c r="PZB31" s="672"/>
      <c r="PZC31" s="672"/>
      <c r="PZD31" s="672"/>
      <c r="PZE31" s="672"/>
      <c r="PZF31" s="672"/>
      <c r="PZG31" s="672"/>
      <c r="PZH31" s="672"/>
      <c r="PZI31" s="672"/>
      <c r="PZJ31" s="672"/>
      <c r="PZK31" s="672"/>
      <c r="PZL31" s="672"/>
      <c r="PZM31" s="672"/>
      <c r="PZN31" s="672"/>
      <c r="PZO31" s="672"/>
      <c r="PZP31" s="672"/>
      <c r="PZQ31" s="672"/>
      <c r="PZR31" s="672"/>
      <c r="PZS31" s="672"/>
      <c r="PZT31" s="672"/>
      <c r="PZU31" s="672"/>
      <c r="PZV31" s="672"/>
      <c r="PZW31" s="672"/>
      <c r="PZX31" s="672"/>
      <c r="PZY31" s="672"/>
      <c r="PZZ31" s="672"/>
      <c r="QAA31" s="672"/>
      <c r="QAB31" s="672"/>
      <c r="QAC31" s="672"/>
      <c r="QAD31" s="672"/>
      <c r="QAE31" s="672"/>
      <c r="QAF31" s="672"/>
      <c r="QAG31" s="672"/>
      <c r="QAH31" s="672"/>
      <c r="QAI31" s="672"/>
      <c r="QAJ31" s="672"/>
      <c r="QAK31" s="672"/>
      <c r="QAL31" s="672"/>
      <c r="QAM31" s="672"/>
      <c r="QAN31" s="672"/>
      <c r="QAO31" s="672"/>
      <c r="QAP31" s="672"/>
      <c r="QAQ31" s="672"/>
      <c r="QAR31" s="672"/>
      <c r="QAS31" s="672"/>
      <c r="QAT31" s="672"/>
      <c r="QAU31" s="672"/>
      <c r="QAV31" s="672"/>
      <c r="QAW31" s="672"/>
      <c r="QAX31" s="672"/>
      <c r="QAY31" s="672"/>
      <c r="QAZ31" s="672"/>
      <c r="QBA31" s="672"/>
      <c r="QBB31" s="672"/>
      <c r="QBC31" s="672"/>
      <c r="QBD31" s="672"/>
      <c r="QBE31" s="672"/>
      <c r="QBF31" s="672"/>
      <c r="QBG31" s="672"/>
      <c r="QBH31" s="672"/>
      <c r="QBI31" s="672"/>
      <c r="QBJ31" s="672"/>
      <c r="QBK31" s="672"/>
      <c r="QBL31" s="672"/>
      <c r="QBM31" s="672"/>
      <c r="QBN31" s="672"/>
      <c r="QBO31" s="672"/>
      <c r="QBP31" s="672"/>
      <c r="QBQ31" s="672"/>
      <c r="QBR31" s="672"/>
      <c r="QBS31" s="672"/>
      <c r="QBT31" s="672"/>
      <c r="QBU31" s="672"/>
      <c r="QBV31" s="672"/>
      <c r="QBW31" s="672"/>
      <c r="QBX31" s="672"/>
      <c r="QBY31" s="672"/>
      <c r="QBZ31" s="672"/>
      <c r="QCA31" s="672"/>
      <c r="QCB31" s="672"/>
      <c r="QCC31" s="672"/>
      <c r="QCD31" s="672"/>
      <c r="QCE31" s="672"/>
      <c r="QCF31" s="672"/>
      <c r="QCG31" s="672"/>
      <c r="QCH31" s="672"/>
      <c r="QCI31" s="672"/>
      <c r="QCJ31" s="672"/>
      <c r="QCK31" s="672"/>
      <c r="QCL31" s="672"/>
      <c r="QCM31" s="672"/>
      <c r="QCN31" s="672"/>
      <c r="QCO31" s="672"/>
      <c r="QCP31" s="672"/>
      <c r="QCQ31" s="672"/>
      <c r="QCR31" s="672"/>
      <c r="QCS31" s="672"/>
      <c r="QCT31" s="672"/>
      <c r="QCU31" s="672"/>
      <c r="QCV31" s="672"/>
      <c r="QCW31" s="672"/>
      <c r="QCX31" s="672"/>
      <c r="QCY31" s="672"/>
      <c r="QCZ31" s="672"/>
      <c r="QDA31" s="672"/>
      <c r="QDB31" s="672"/>
      <c r="QDC31" s="672"/>
      <c r="QDD31" s="672"/>
      <c r="QDE31" s="672"/>
      <c r="QDF31" s="672"/>
      <c r="QDG31" s="672"/>
      <c r="QDH31" s="672"/>
      <c r="QDI31" s="672"/>
      <c r="QDJ31" s="672"/>
      <c r="QDK31" s="672"/>
      <c r="QDL31" s="672"/>
      <c r="QDM31" s="672"/>
      <c r="QDN31" s="672"/>
      <c r="QDO31" s="672"/>
      <c r="QDP31" s="672"/>
      <c r="QDQ31" s="672"/>
      <c r="QDR31" s="672"/>
      <c r="QDS31" s="672"/>
      <c r="QDT31" s="672"/>
      <c r="QDU31" s="672"/>
      <c r="QDV31" s="672"/>
      <c r="QDW31" s="672"/>
      <c r="QDX31" s="672"/>
      <c r="QDY31" s="672"/>
      <c r="QDZ31" s="672"/>
      <c r="QEA31" s="672"/>
      <c r="QEB31" s="672"/>
      <c r="QEC31" s="672"/>
      <c r="QED31" s="672"/>
      <c r="QEE31" s="672"/>
      <c r="QEF31" s="672"/>
      <c r="QEG31" s="672"/>
      <c r="QEH31" s="672"/>
      <c r="QEI31" s="672"/>
      <c r="QEJ31" s="672"/>
      <c r="QEK31" s="672"/>
      <c r="QEL31" s="672"/>
      <c r="QEM31" s="672"/>
      <c r="QEN31" s="672"/>
      <c r="QEO31" s="672"/>
      <c r="QEP31" s="672"/>
      <c r="QEQ31" s="672"/>
      <c r="QER31" s="672"/>
      <c r="QES31" s="672"/>
      <c r="QET31" s="672"/>
      <c r="QEU31" s="672"/>
      <c r="QEV31" s="672"/>
      <c r="QEW31" s="672"/>
      <c r="QEX31" s="672"/>
      <c r="QEY31" s="672"/>
      <c r="QEZ31" s="672"/>
      <c r="QFA31" s="672"/>
      <c r="QFB31" s="672"/>
      <c r="QFC31" s="672"/>
      <c r="QFD31" s="672"/>
      <c r="QFE31" s="672"/>
      <c r="QFF31" s="672"/>
      <c r="QFG31" s="672"/>
      <c r="QFH31" s="672"/>
      <c r="QFI31" s="672"/>
      <c r="QFJ31" s="672"/>
      <c r="QFK31" s="672"/>
      <c r="QFL31" s="672"/>
      <c r="QFM31" s="672"/>
      <c r="QFN31" s="672"/>
      <c r="QFO31" s="672"/>
      <c r="QFP31" s="672"/>
      <c r="QFQ31" s="672"/>
      <c r="QFR31" s="672"/>
      <c r="QFS31" s="672"/>
      <c r="QFT31" s="672"/>
      <c r="QFU31" s="672"/>
      <c r="QFV31" s="672"/>
      <c r="QFW31" s="672"/>
      <c r="QFX31" s="672"/>
      <c r="QFY31" s="672"/>
      <c r="QFZ31" s="672"/>
      <c r="QGA31" s="672"/>
      <c r="QGB31" s="672"/>
      <c r="QGC31" s="672"/>
      <c r="QGD31" s="672"/>
      <c r="QGE31" s="672"/>
      <c r="QGF31" s="672"/>
      <c r="QGG31" s="672"/>
      <c r="QGH31" s="672"/>
      <c r="QGI31" s="672"/>
      <c r="QGJ31" s="672"/>
      <c r="QGK31" s="672"/>
      <c r="QGL31" s="672"/>
      <c r="QGM31" s="672"/>
      <c r="QGN31" s="672"/>
      <c r="QGO31" s="672"/>
      <c r="QGP31" s="672"/>
      <c r="QGQ31" s="672"/>
      <c r="QGR31" s="672"/>
      <c r="QGS31" s="672"/>
      <c r="QGT31" s="672"/>
      <c r="QGU31" s="672"/>
      <c r="QGV31" s="672"/>
      <c r="QGW31" s="672"/>
      <c r="QGX31" s="672"/>
      <c r="QGY31" s="672"/>
      <c r="QGZ31" s="672"/>
      <c r="QHA31" s="672"/>
      <c r="QHB31" s="672"/>
      <c r="QHC31" s="672"/>
      <c r="QHD31" s="672"/>
      <c r="QHE31" s="672"/>
      <c r="QHF31" s="672"/>
      <c r="QHG31" s="672"/>
      <c r="QHH31" s="672"/>
      <c r="QHI31" s="672"/>
      <c r="QHJ31" s="672"/>
      <c r="QHK31" s="672"/>
      <c r="QHL31" s="672"/>
      <c r="QHM31" s="672"/>
      <c r="QHN31" s="672"/>
      <c r="QHO31" s="672"/>
      <c r="QHP31" s="672"/>
      <c r="QHQ31" s="672"/>
      <c r="QHR31" s="672"/>
      <c r="QHS31" s="672"/>
      <c r="QHT31" s="672"/>
      <c r="QHU31" s="672"/>
      <c r="QHV31" s="672"/>
      <c r="QHW31" s="672"/>
      <c r="QHX31" s="672"/>
      <c r="QHY31" s="672"/>
      <c r="QHZ31" s="672"/>
      <c r="QIA31" s="672"/>
      <c r="QIB31" s="672"/>
      <c r="QIC31" s="672"/>
      <c r="QID31" s="672"/>
      <c r="QIE31" s="672"/>
      <c r="QIF31" s="672"/>
      <c r="QIG31" s="672"/>
      <c r="QIH31" s="672"/>
      <c r="QII31" s="672"/>
      <c r="QIJ31" s="672"/>
      <c r="QIK31" s="672"/>
      <c r="QIL31" s="672"/>
      <c r="QIM31" s="672"/>
      <c r="QIN31" s="672"/>
      <c r="QIO31" s="672"/>
      <c r="QIP31" s="672"/>
      <c r="QIQ31" s="672"/>
      <c r="QIR31" s="672"/>
      <c r="QIS31" s="672"/>
      <c r="QIT31" s="672"/>
      <c r="QIU31" s="672"/>
      <c r="QIV31" s="672"/>
      <c r="QIW31" s="672"/>
      <c r="QIX31" s="672"/>
      <c r="QIY31" s="672"/>
      <c r="QIZ31" s="672"/>
      <c r="QJA31" s="672"/>
      <c r="QJB31" s="672"/>
      <c r="QJC31" s="672"/>
      <c r="QJD31" s="672"/>
      <c r="QJE31" s="672"/>
      <c r="QJF31" s="672"/>
      <c r="QJG31" s="672"/>
      <c r="QJH31" s="672"/>
      <c r="QJI31" s="672"/>
      <c r="QJJ31" s="672"/>
      <c r="QJK31" s="672"/>
      <c r="QJL31" s="672"/>
      <c r="QJM31" s="672"/>
      <c r="QJN31" s="672"/>
      <c r="QJO31" s="672"/>
      <c r="QJP31" s="672"/>
      <c r="QJQ31" s="672"/>
      <c r="QJR31" s="672"/>
      <c r="QJS31" s="672"/>
      <c r="QJT31" s="672"/>
      <c r="QJU31" s="672"/>
      <c r="QJV31" s="672"/>
      <c r="QJW31" s="672"/>
      <c r="QJX31" s="672"/>
      <c r="QJY31" s="672"/>
      <c r="QJZ31" s="672"/>
      <c r="QKA31" s="672"/>
      <c r="QKB31" s="672"/>
      <c r="QKC31" s="672"/>
      <c r="QKD31" s="672"/>
      <c r="QKE31" s="672"/>
      <c r="QKF31" s="672"/>
      <c r="QKG31" s="672"/>
      <c r="QKH31" s="672"/>
      <c r="QKI31" s="672"/>
      <c r="QKJ31" s="672"/>
      <c r="QKK31" s="672"/>
      <c r="QKL31" s="672"/>
      <c r="QKM31" s="672"/>
      <c r="QKN31" s="672"/>
      <c r="QKO31" s="672"/>
      <c r="QKP31" s="672"/>
      <c r="QKQ31" s="672"/>
      <c r="QKR31" s="672"/>
      <c r="QKS31" s="672"/>
      <c r="QKT31" s="672"/>
      <c r="QKU31" s="672"/>
      <c r="QKV31" s="672"/>
      <c r="QKW31" s="672"/>
      <c r="QKX31" s="672"/>
      <c r="QKY31" s="672"/>
      <c r="QKZ31" s="672"/>
      <c r="QLA31" s="672"/>
      <c r="QLB31" s="672"/>
      <c r="QLC31" s="672"/>
      <c r="QLD31" s="672"/>
      <c r="QLE31" s="672"/>
      <c r="QLF31" s="672"/>
      <c r="QLG31" s="672"/>
      <c r="QLH31" s="672"/>
      <c r="QLI31" s="672"/>
      <c r="QLJ31" s="672"/>
      <c r="QLK31" s="672"/>
      <c r="QLL31" s="672"/>
      <c r="QLM31" s="672"/>
      <c r="QLN31" s="672"/>
      <c r="QLO31" s="672"/>
      <c r="QLP31" s="672"/>
      <c r="QLQ31" s="672"/>
      <c r="QLR31" s="672"/>
      <c r="QLS31" s="672"/>
      <c r="QLT31" s="672"/>
      <c r="QLU31" s="672"/>
      <c r="QLV31" s="672"/>
      <c r="QLW31" s="672"/>
      <c r="QLX31" s="672"/>
      <c r="QLY31" s="672"/>
      <c r="QLZ31" s="672"/>
      <c r="QMA31" s="672"/>
      <c r="QMB31" s="672"/>
      <c r="QMC31" s="672"/>
      <c r="QMD31" s="672"/>
      <c r="QME31" s="672"/>
      <c r="QMF31" s="672"/>
      <c r="QMG31" s="672"/>
      <c r="QMH31" s="672"/>
      <c r="QMI31" s="672"/>
      <c r="QMJ31" s="672"/>
      <c r="QMK31" s="672"/>
      <c r="QML31" s="672"/>
      <c r="QMM31" s="672"/>
      <c r="QMN31" s="672"/>
      <c r="QMO31" s="672"/>
      <c r="QMP31" s="672"/>
      <c r="QMQ31" s="672"/>
      <c r="QMR31" s="672"/>
      <c r="QMS31" s="672"/>
      <c r="QMT31" s="672"/>
      <c r="QMU31" s="672"/>
      <c r="QMV31" s="672"/>
      <c r="QMW31" s="672"/>
      <c r="QMX31" s="672"/>
      <c r="QMY31" s="672"/>
      <c r="QMZ31" s="672"/>
      <c r="QNA31" s="672"/>
      <c r="QNB31" s="672"/>
      <c r="QNC31" s="672"/>
      <c r="QND31" s="672"/>
      <c r="QNE31" s="672"/>
      <c r="QNF31" s="672"/>
      <c r="QNG31" s="672"/>
      <c r="QNH31" s="672"/>
      <c r="QNI31" s="672"/>
      <c r="QNJ31" s="672"/>
      <c r="QNK31" s="672"/>
      <c r="QNL31" s="672"/>
      <c r="QNM31" s="672"/>
      <c r="QNN31" s="672"/>
      <c r="QNO31" s="672"/>
      <c r="QNP31" s="672"/>
      <c r="QNQ31" s="672"/>
      <c r="QNR31" s="672"/>
      <c r="QNS31" s="672"/>
      <c r="QNT31" s="672"/>
      <c r="QNU31" s="672"/>
      <c r="QNV31" s="672"/>
      <c r="QNW31" s="672"/>
      <c r="QNX31" s="672"/>
      <c r="QNY31" s="672"/>
      <c r="QNZ31" s="672"/>
      <c r="QOA31" s="672"/>
      <c r="QOB31" s="672"/>
      <c r="QOC31" s="672"/>
      <c r="QOD31" s="672"/>
      <c r="QOE31" s="672"/>
      <c r="QOF31" s="672"/>
      <c r="QOG31" s="672"/>
      <c r="QOH31" s="672"/>
      <c r="QOI31" s="672"/>
      <c r="QOJ31" s="672"/>
      <c r="QOK31" s="672"/>
      <c r="QOL31" s="672"/>
      <c r="QOM31" s="672"/>
      <c r="QON31" s="672"/>
      <c r="QOO31" s="672"/>
      <c r="QOP31" s="672"/>
      <c r="QOQ31" s="672"/>
      <c r="QOR31" s="672"/>
      <c r="QOS31" s="672"/>
      <c r="QOT31" s="672"/>
      <c r="QOU31" s="672"/>
      <c r="QOV31" s="672"/>
      <c r="QOW31" s="672"/>
      <c r="QOX31" s="672"/>
      <c r="QOY31" s="672"/>
      <c r="QOZ31" s="672"/>
      <c r="QPA31" s="672"/>
      <c r="QPB31" s="672"/>
      <c r="QPC31" s="672"/>
      <c r="QPD31" s="672"/>
      <c r="QPE31" s="672"/>
      <c r="QPF31" s="672"/>
      <c r="QPG31" s="672"/>
      <c r="QPH31" s="672"/>
      <c r="QPI31" s="672"/>
      <c r="QPJ31" s="672"/>
      <c r="QPK31" s="672"/>
      <c r="QPL31" s="672"/>
      <c r="QPM31" s="672"/>
      <c r="QPN31" s="672"/>
      <c r="QPO31" s="672"/>
      <c r="QPP31" s="672"/>
      <c r="QPQ31" s="672"/>
      <c r="QPR31" s="672"/>
      <c r="QPS31" s="672"/>
      <c r="QPT31" s="672"/>
      <c r="QPU31" s="672"/>
      <c r="QPV31" s="672"/>
      <c r="QPW31" s="672"/>
      <c r="QPX31" s="672"/>
      <c r="QPY31" s="672"/>
      <c r="QPZ31" s="672"/>
      <c r="QQA31" s="672"/>
      <c r="QQB31" s="672"/>
      <c r="QQC31" s="672"/>
      <c r="QQD31" s="672"/>
      <c r="QQE31" s="672"/>
      <c r="QQF31" s="672"/>
      <c r="QQG31" s="672"/>
      <c r="QQH31" s="672"/>
      <c r="QQI31" s="672"/>
      <c r="QQJ31" s="672"/>
      <c r="QQK31" s="672"/>
      <c r="QQL31" s="672"/>
      <c r="QQM31" s="672"/>
      <c r="QQN31" s="672"/>
      <c r="QQO31" s="672"/>
      <c r="QQP31" s="672"/>
      <c r="QQQ31" s="672"/>
      <c r="QQR31" s="672"/>
      <c r="QQS31" s="672"/>
      <c r="QQT31" s="672"/>
      <c r="QQU31" s="672"/>
      <c r="QQV31" s="672"/>
      <c r="QQW31" s="672"/>
      <c r="QQX31" s="672"/>
      <c r="QQY31" s="672"/>
      <c r="QQZ31" s="672"/>
      <c r="QRA31" s="672"/>
      <c r="QRB31" s="672"/>
      <c r="QRC31" s="672"/>
      <c r="QRD31" s="672"/>
      <c r="QRE31" s="672"/>
      <c r="QRF31" s="672"/>
      <c r="QRG31" s="672"/>
      <c r="QRH31" s="672"/>
      <c r="QRI31" s="672"/>
      <c r="QRJ31" s="672"/>
      <c r="QRK31" s="672"/>
      <c r="QRL31" s="672"/>
      <c r="QRM31" s="672"/>
      <c r="QRN31" s="672"/>
      <c r="QRO31" s="672"/>
      <c r="QRP31" s="672"/>
      <c r="QRQ31" s="672"/>
      <c r="QRR31" s="672"/>
      <c r="QRS31" s="672"/>
      <c r="QRT31" s="672"/>
      <c r="QRU31" s="672"/>
      <c r="QRV31" s="672"/>
      <c r="QRW31" s="672"/>
      <c r="QRX31" s="672"/>
      <c r="QRY31" s="672"/>
      <c r="QRZ31" s="672"/>
      <c r="QSA31" s="672"/>
      <c r="QSB31" s="672"/>
      <c r="QSC31" s="672"/>
      <c r="QSD31" s="672"/>
      <c r="QSE31" s="672"/>
      <c r="QSF31" s="672"/>
      <c r="QSG31" s="672"/>
      <c r="QSH31" s="672"/>
      <c r="QSI31" s="672"/>
      <c r="QSJ31" s="672"/>
      <c r="QSK31" s="672"/>
      <c r="QSL31" s="672"/>
      <c r="QSM31" s="672"/>
      <c r="QSN31" s="672"/>
      <c r="QSO31" s="672"/>
      <c r="QSP31" s="672"/>
      <c r="QSQ31" s="672"/>
      <c r="QSR31" s="672"/>
      <c r="QSS31" s="672"/>
      <c r="QST31" s="672"/>
      <c r="QSU31" s="672"/>
      <c r="QSV31" s="672"/>
      <c r="QSW31" s="672"/>
      <c r="QSX31" s="672"/>
      <c r="QSY31" s="672"/>
      <c r="QSZ31" s="672"/>
      <c r="QTA31" s="672"/>
      <c r="QTB31" s="672"/>
      <c r="QTC31" s="672"/>
      <c r="QTD31" s="672"/>
      <c r="QTE31" s="672"/>
      <c r="QTF31" s="672"/>
      <c r="QTG31" s="672"/>
      <c r="QTH31" s="672"/>
      <c r="QTI31" s="672"/>
      <c r="QTJ31" s="672"/>
      <c r="QTK31" s="672"/>
      <c r="QTL31" s="672"/>
      <c r="QTM31" s="672"/>
      <c r="QTN31" s="672"/>
      <c r="QTO31" s="672"/>
      <c r="QTP31" s="672"/>
      <c r="QTQ31" s="672"/>
      <c r="QTR31" s="672"/>
      <c r="QTS31" s="672"/>
      <c r="QTT31" s="672"/>
      <c r="QTU31" s="672"/>
      <c r="QTV31" s="672"/>
      <c r="QTW31" s="672"/>
      <c r="QTX31" s="672"/>
      <c r="QTY31" s="672"/>
      <c r="QTZ31" s="672"/>
      <c r="QUA31" s="672"/>
      <c r="QUB31" s="672"/>
      <c r="QUC31" s="672"/>
      <c r="QUD31" s="672"/>
      <c r="QUE31" s="672"/>
      <c r="QUF31" s="672"/>
      <c r="QUG31" s="672"/>
      <c r="QUH31" s="672"/>
      <c r="QUI31" s="672"/>
      <c r="QUJ31" s="672"/>
      <c r="QUK31" s="672"/>
      <c r="QUL31" s="672"/>
      <c r="QUM31" s="672"/>
      <c r="QUN31" s="672"/>
      <c r="QUO31" s="672"/>
      <c r="QUP31" s="672"/>
      <c r="QUQ31" s="672"/>
      <c r="QUR31" s="672"/>
      <c r="QUS31" s="672"/>
      <c r="QUT31" s="672"/>
      <c r="QUU31" s="672"/>
      <c r="QUV31" s="672"/>
      <c r="QUW31" s="672"/>
      <c r="QUX31" s="672"/>
      <c r="QUY31" s="672"/>
      <c r="QUZ31" s="672"/>
      <c r="QVA31" s="672"/>
      <c r="QVB31" s="672"/>
      <c r="QVC31" s="672"/>
      <c r="QVD31" s="672"/>
      <c r="QVE31" s="672"/>
      <c r="QVF31" s="672"/>
      <c r="QVG31" s="672"/>
      <c r="QVH31" s="672"/>
      <c r="QVI31" s="672"/>
      <c r="QVJ31" s="672"/>
      <c r="QVK31" s="672"/>
      <c r="QVL31" s="672"/>
      <c r="QVM31" s="672"/>
      <c r="QVN31" s="672"/>
      <c r="QVO31" s="672"/>
      <c r="QVP31" s="672"/>
      <c r="QVQ31" s="672"/>
      <c r="QVR31" s="672"/>
      <c r="QVS31" s="672"/>
      <c r="QVT31" s="672"/>
      <c r="QVU31" s="672"/>
      <c r="QVV31" s="672"/>
      <c r="QVW31" s="672"/>
      <c r="QVX31" s="672"/>
      <c r="QVY31" s="672"/>
      <c r="QVZ31" s="672"/>
      <c r="QWA31" s="672"/>
      <c r="QWB31" s="672"/>
      <c r="QWC31" s="672"/>
      <c r="QWD31" s="672"/>
      <c r="QWE31" s="672"/>
      <c r="QWF31" s="672"/>
      <c r="QWG31" s="672"/>
      <c r="QWH31" s="672"/>
      <c r="QWI31" s="672"/>
      <c r="QWJ31" s="672"/>
      <c r="QWK31" s="672"/>
      <c r="QWL31" s="672"/>
      <c r="QWM31" s="672"/>
      <c r="QWN31" s="672"/>
      <c r="QWO31" s="672"/>
      <c r="QWP31" s="672"/>
      <c r="QWQ31" s="672"/>
      <c r="QWR31" s="672"/>
      <c r="QWS31" s="672"/>
      <c r="QWT31" s="672"/>
      <c r="QWU31" s="672"/>
      <c r="QWV31" s="672"/>
      <c r="QWW31" s="672"/>
      <c r="QWX31" s="672"/>
      <c r="QWY31" s="672"/>
      <c r="QWZ31" s="672"/>
      <c r="QXA31" s="672"/>
      <c r="QXB31" s="672"/>
      <c r="QXC31" s="672"/>
      <c r="QXD31" s="672"/>
      <c r="QXE31" s="672"/>
      <c r="QXF31" s="672"/>
      <c r="QXG31" s="672"/>
      <c r="QXH31" s="672"/>
      <c r="QXI31" s="672"/>
      <c r="QXJ31" s="672"/>
      <c r="QXK31" s="672"/>
      <c r="QXL31" s="672"/>
      <c r="QXM31" s="672"/>
      <c r="QXN31" s="672"/>
      <c r="QXO31" s="672"/>
      <c r="QXP31" s="672"/>
      <c r="QXQ31" s="672"/>
      <c r="QXR31" s="672"/>
      <c r="QXS31" s="672"/>
      <c r="QXT31" s="672"/>
      <c r="QXU31" s="672"/>
      <c r="QXV31" s="672"/>
      <c r="QXW31" s="672"/>
      <c r="QXX31" s="672"/>
      <c r="QXY31" s="672"/>
      <c r="QXZ31" s="672"/>
      <c r="QYA31" s="672"/>
      <c r="QYB31" s="672"/>
      <c r="QYC31" s="672"/>
      <c r="QYD31" s="672"/>
      <c r="QYE31" s="672"/>
      <c r="QYF31" s="672"/>
      <c r="QYG31" s="672"/>
      <c r="QYH31" s="672"/>
      <c r="QYI31" s="672"/>
      <c r="QYJ31" s="672"/>
      <c r="QYK31" s="672"/>
      <c r="QYL31" s="672"/>
      <c r="QYM31" s="672"/>
      <c r="QYN31" s="672"/>
      <c r="QYO31" s="672"/>
      <c r="QYP31" s="672"/>
      <c r="QYQ31" s="672"/>
      <c r="QYR31" s="672"/>
      <c r="QYS31" s="672"/>
      <c r="QYT31" s="672"/>
      <c r="QYU31" s="672"/>
      <c r="QYV31" s="672"/>
      <c r="QYW31" s="672"/>
      <c r="QYX31" s="672"/>
      <c r="QYY31" s="672"/>
      <c r="QYZ31" s="672"/>
      <c r="QZA31" s="672"/>
      <c r="QZB31" s="672"/>
      <c r="QZC31" s="672"/>
      <c r="QZD31" s="672"/>
      <c r="QZE31" s="672"/>
      <c r="QZF31" s="672"/>
      <c r="QZG31" s="672"/>
      <c r="QZH31" s="672"/>
      <c r="QZI31" s="672"/>
      <c r="QZJ31" s="672"/>
      <c r="QZK31" s="672"/>
      <c r="QZL31" s="672"/>
      <c r="QZM31" s="672"/>
      <c r="QZN31" s="672"/>
      <c r="QZO31" s="672"/>
      <c r="QZP31" s="672"/>
      <c r="QZQ31" s="672"/>
      <c r="QZR31" s="672"/>
      <c r="QZS31" s="672"/>
      <c r="QZT31" s="672"/>
      <c r="QZU31" s="672"/>
      <c r="QZV31" s="672"/>
      <c r="QZW31" s="672"/>
      <c r="QZX31" s="672"/>
      <c r="QZY31" s="672"/>
      <c r="QZZ31" s="672"/>
      <c r="RAA31" s="672"/>
      <c r="RAB31" s="672"/>
      <c r="RAC31" s="672"/>
      <c r="RAD31" s="672"/>
      <c r="RAE31" s="672"/>
      <c r="RAF31" s="672"/>
      <c r="RAG31" s="672"/>
      <c r="RAH31" s="672"/>
      <c r="RAI31" s="672"/>
      <c r="RAJ31" s="672"/>
      <c r="RAK31" s="672"/>
      <c r="RAL31" s="672"/>
      <c r="RAM31" s="672"/>
      <c r="RAN31" s="672"/>
      <c r="RAO31" s="672"/>
      <c r="RAP31" s="672"/>
      <c r="RAQ31" s="672"/>
      <c r="RAR31" s="672"/>
      <c r="RAS31" s="672"/>
      <c r="RAT31" s="672"/>
      <c r="RAU31" s="672"/>
      <c r="RAV31" s="672"/>
      <c r="RAW31" s="672"/>
      <c r="RAX31" s="672"/>
      <c r="RAY31" s="672"/>
      <c r="RAZ31" s="672"/>
      <c r="RBA31" s="672"/>
      <c r="RBB31" s="672"/>
      <c r="RBC31" s="672"/>
      <c r="RBD31" s="672"/>
      <c r="RBE31" s="672"/>
      <c r="RBF31" s="672"/>
      <c r="RBG31" s="672"/>
      <c r="RBH31" s="672"/>
      <c r="RBI31" s="672"/>
      <c r="RBJ31" s="672"/>
      <c r="RBK31" s="672"/>
      <c r="RBL31" s="672"/>
      <c r="RBM31" s="672"/>
      <c r="RBN31" s="672"/>
      <c r="RBO31" s="672"/>
      <c r="RBP31" s="672"/>
      <c r="RBQ31" s="672"/>
      <c r="RBR31" s="672"/>
      <c r="RBS31" s="672"/>
      <c r="RBT31" s="672"/>
      <c r="RBU31" s="672"/>
      <c r="RBV31" s="672"/>
      <c r="RBW31" s="672"/>
      <c r="RBX31" s="672"/>
      <c r="RBY31" s="672"/>
      <c r="RBZ31" s="672"/>
      <c r="RCA31" s="672"/>
      <c r="RCB31" s="672"/>
      <c r="RCC31" s="672"/>
      <c r="RCD31" s="672"/>
      <c r="RCE31" s="672"/>
      <c r="RCF31" s="672"/>
      <c r="RCG31" s="672"/>
      <c r="RCH31" s="672"/>
      <c r="RCI31" s="672"/>
      <c r="RCJ31" s="672"/>
      <c r="RCK31" s="672"/>
      <c r="RCL31" s="672"/>
      <c r="RCM31" s="672"/>
      <c r="RCN31" s="672"/>
      <c r="RCO31" s="672"/>
      <c r="RCP31" s="672"/>
      <c r="RCQ31" s="672"/>
      <c r="RCR31" s="672"/>
      <c r="RCS31" s="672"/>
      <c r="RCT31" s="672"/>
      <c r="RCU31" s="672"/>
      <c r="RCV31" s="672"/>
      <c r="RCW31" s="672"/>
      <c r="RCX31" s="672"/>
      <c r="RCY31" s="672"/>
      <c r="RCZ31" s="672"/>
      <c r="RDA31" s="672"/>
      <c r="RDB31" s="672"/>
      <c r="RDC31" s="672"/>
      <c r="RDD31" s="672"/>
      <c r="RDE31" s="672"/>
      <c r="RDF31" s="672"/>
      <c r="RDG31" s="672"/>
      <c r="RDH31" s="672"/>
      <c r="RDI31" s="672"/>
      <c r="RDJ31" s="672"/>
      <c r="RDK31" s="672"/>
      <c r="RDL31" s="672"/>
      <c r="RDM31" s="672"/>
      <c r="RDN31" s="672"/>
      <c r="RDO31" s="672"/>
      <c r="RDP31" s="672"/>
      <c r="RDQ31" s="672"/>
      <c r="RDR31" s="672"/>
      <c r="RDS31" s="672"/>
      <c r="RDT31" s="672"/>
      <c r="RDU31" s="672"/>
      <c r="RDV31" s="672"/>
      <c r="RDW31" s="672"/>
      <c r="RDX31" s="672"/>
      <c r="RDY31" s="672"/>
      <c r="RDZ31" s="672"/>
      <c r="REA31" s="672"/>
      <c r="REB31" s="672"/>
      <c r="REC31" s="672"/>
      <c r="RED31" s="672"/>
      <c r="REE31" s="672"/>
      <c r="REF31" s="672"/>
      <c r="REG31" s="672"/>
      <c r="REH31" s="672"/>
      <c r="REI31" s="672"/>
      <c r="REJ31" s="672"/>
      <c r="REK31" s="672"/>
      <c r="REL31" s="672"/>
      <c r="REM31" s="672"/>
      <c r="REN31" s="672"/>
      <c r="REO31" s="672"/>
      <c r="REP31" s="672"/>
      <c r="REQ31" s="672"/>
      <c r="RER31" s="672"/>
      <c r="RES31" s="672"/>
      <c r="RET31" s="672"/>
      <c r="REU31" s="672"/>
      <c r="REV31" s="672"/>
      <c r="REW31" s="672"/>
      <c r="REX31" s="672"/>
      <c r="REY31" s="672"/>
      <c r="REZ31" s="672"/>
      <c r="RFA31" s="672"/>
      <c r="RFB31" s="672"/>
      <c r="RFC31" s="672"/>
      <c r="RFD31" s="672"/>
      <c r="RFE31" s="672"/>
      <c r="RFF31" s="672"/>
      <c r="RFG31" s="672"/>
      <c r="RFH31" s="672"/>
      <c r="RFI31" s="672"/>
      <c r="RFJ31" s="672"/>
      <c r="RFK31" s="672"/>
      <c r="RFL31" s="672"/>
      <c r="RFM31" s="672"/>
      <c r="RFN31" s="672"/>
      <c r="RFO31" s="672"/>
      <c r="RFP31" s="672"/>
      <c r="RFQ31" s="672"/>
      <c r="RFR31" s="672"/>
      <c r="RFS31" s="672"/>
      <c r="RFT31" s="672"/>
      <c r="RFU31" s="672"/>
      <c r="RFV31" s="672"/>
      <c r="RFW31" s="672"/>
      <c r="RFX31" s="672"/>
      <c r="RFY31" s="672"/>
      <c r="RFZ31" s="672"/>
      <c r="RGA31" s="672"/>
      <c r="RGB31" s="672"/>
      <c r="RGC31" s="672"/>
      <c r="RGD31" s="672"/>
      <c r="RGE31" s="672"/>
      <c r="RGF31" s="672"/>
      <c r="RGG31" s="672"/>
      <c r="RGH31" s="672"/>
      <c r="RGI31" s="672"/>
      <c r="RGJ31" s="672"/>
      <c r="RGK31" s="672"/>
      <c r="RGL31" s="672"/>
      <c r="RGM31" s="672"/>
      <c r="RGN31" s="672"/>
      <c r="RGO31" s="672"/>
      <c r="RGP31" s="672"/>
      <c r="RGQ31" s="672"/>
      <c r="RGR31" s="672"/>
      <c r="RGS31" s="672"/>
      <c r="RGT31" s="672"/>
      <c r="RGU31" s="672"/>
      <c r="RGV31" s="672"/>
      <c r="RGW31" s="672"/>
      <c r="RGX31" s="672"/>
      <c r="RGY31" s="672"/>
      <c r="RGZ31" s="672"/>
      <c r="RHA31" s="672"/>
      <c r="RHB31" s="672"/>
      <c r="RHC31" s="672"/>
      <c r="RHD31" s="672"/>
      <c r="RHE31" s="672"/>
      <c r="RHF31" s="672"/>
      <c r="RHG31" s="672"/>
      <c r="RHH31" s="672"/>
      <c r="RHI31" s="672"/>
      <c r="RHJ31" s="672"/>
      <c r="RHK31" s="672"/>
      <c r="RHL31" s="672"/>
      <c r="RHM31" s="672"/>
      <c r="RHN31" s="672"/>
      <c r="RHO31" s="672"/>
      <c r="RHP31" s="672"/>
      <c r="RHQ31" s="672"/>
      <c r="RHR31" s="672"/>
      <c r="RHS31" s="672"/>
      <c r="RHT31" s="672"/>
      <c r="RHU31" s="672"/>
      <c r="RHV31" s="672"/>
      <c r="RHW31" s="672"/>
      <c r="RHX31" s="672"/>
      <c r="RHY31" s="672"/>
      <c r="RHZ31" s="672"/>
      <c r="RIA31" s="672"/>
      <c r="RIB31" s="672"/>
      <c r="RIC31" s="672"/>
      <c r="RID31" s="672"/>
      <c r="RIE31" s="672"/>
      <c r="RIF31" s="672"/>
      <c r="RIG31" s="672"/>
      <c r="RIH31" s="672"/>
      <c r="RII31" s="672"/>
      <c r="RIJ31" s="672"/>
      <c r="RIK31" s="672"/>
      <c r="RIL31" s="672"/>
      <c r="RIM31" s="672"/>
      <c r="RIN31" s="672"/>
      <c r="RIO31" s="672"/>
      <c r="RIP31" s="672"/>
      <c r="RIQ31" s="672"/>
      <c r="RIR31" s="672"/>
      <c r="RIS31" s="672"/>
      <c r="RIT31" s="672"/>
      <c r="RIU31" s="672"/>
      <c r="RIV31" s="672"/>
      <c r="RIW31" s="672"/>
      <c r="RIX31" s="672"/>
      <c r="RIY31" s="672"/>
      <c r="RIZ31" s="672"/>
      <c r="RJA31" s="672"/>
      <c r="RJB31" s="672"/>
      <c r="RJC31" s="672"/>
      <c r="RJD31" s="672"/>
      <c r="RJE31" s="672"/>
      <c r="RJF31" s="672"/>
      <c r="RJG31" s="672"/>
      <c r="RJH31" s="672"/>
      <c r="RJI31" s="672"/>
      <c r="RJJ31" s="672"/>
      <c r="RJK31" s="672"/>
      <c r="RJL31" s="672"/>
      <c r="RJM31" s="672"/>
      <c r="RJN31" s="672"/>
      <c r="RJO31" s="672"/>
      <c r="RJP31" s="672"/>
      <c r="RJQ31" s="672"/>
      <c r="RJR31" s="672"/>
      <c r="RJS31" s="672"/>
      <c r="RJT31" s="672"/>
      <c r="RJU31" s="672"/>
      <c r="RJV31" s="672"/>
      <c r="RJW31" s="672"/>
      <c r="RJX31" s="672"/>
      <c r="RJY31" s="672"/>
      <c r="RJZ31" s="672"/>
      <c r="RKA31" s="672"/>
      <c r="RKB31" s="672"/>
      <c r="RKC31" s="672"/>
      <c r="RKD31" s="672"/>
      <c r="RKE31" s="672"/>
      <c r="RKF31" s="672"/>
      <c r="RKG31" s="672"/>
      <c r="RKH31" s="672"/>
      <c r="RKI31" s="672"/>
      <c r="RKJ31" s="672"/>
      <c r="RKK31" s="672"/>
      <c r="RKL31" s="672"/>
      <c r="RKM31" s="672"/>
      <c r="RKN31" s="672"/>
      <c r="RKO31" s="672"/>
      <c r="RKP31" s="672"/>
      <c r="RKQ31" s="672"/>
      <c r="RKR31" s="672"/>
      <c r="RKS31" s="672"/>
      <c r="RKT31" s="672"/>
      <c r="RKU31" s="672"/>
      <c r="RKV31" s="672"/>
      <c r="RKW31" s="672"/>
      <c r="RKX31" s="672"/>
      <c r="RKY31" s="672"/>
      <c r="RKZ31" s="672"/>
      <c r="RLA31" s="672"/>
      <c r="RLB31" s="672"/>
      <c r="RLC31" s="672"/>
      <c r="RLD31" s="672"/>
      <c r="RLE31" s="672"/>
      <c r="RLF31" s="672"/>
      <c r="RLG31" s="672"/>
      <c r="RLH31" s="672"/>
      <c r="RLI31" s="672"/>
      <c r="RLJ31" s="672"/>
      <c r="RLK31" s="672"/>
      <c r="RLL31" s="672"/>
      <c r="RLM31" s="672"/>
      <c r="RLN31" s="672"/>
      <c r="RLO31" s="672"/>
      <c r="RLP31" s="672"/>
      <c r="RLQ31" s="672"/>
      <c r="RLR31" s="672"/>
      <c r="RLS31" s="672"/>
      <c r="RLT31" s="672"/>
      <c r="RLU31" s="672"/>
      <c r="RLV31" s="672"/>
      <c r="RLW31" s="672"/>
      <c r="RLX31" s="672"/>
      <c r="RLY31" s="672"/>
      <c r="RLZ31" s="672"/>
      <c r="RMA31" s="672"/>
      <c r="RMB31" s="672"/>
      <c r="RMC31" s="672"/>
      <c r="RMD31" s="672"/>
      <c r="RME31" s="672"/>
      <c r="RMF31" s="672"/>
      <c r="RMG31" s="672"/>
      <c r="RMH31" s="672"/>
      <c r="RMI31" s="672"/>
      <c r="RMJ31" s="672"/>
      <c r="RMK31" s="672"/>
      <c r="RML31" s="672"/>
      <c r="RMM31" s="672"/>
      <c r="RMN31" s="672"/>
      <c r="RMO31" s="672"/>
      <c r="RMP31" s="672"/>
      <c r="RMQ31" s="672"/>
      <c r="RMR31" s="672"/>
      <c r="RMS31" s="672"/>
      <c r="RMT31" s="672"/>
      <c r="RMU31" s="672"/>
      <c r="RMV31" s="672"/>
      <c r="RMW31" s="672"/>
      <c r="RMX31" s="672"/>
      <c r="RMY31" s="672"/>
      <c r="RMZ31" s="672"/>
      <c r="RNA31" s="672"/>
      <c r="RNB31" s="672"/>
      <c r="RNC31" s="672"/>
      <c r="RND31" s="672"/>
      <c r="RNE31" s="672"/>
      <c r="RNF31" s="672"/>
      <c r="RNG31" s="672"/>
      <c r="RNH31" s="672"/>
      <c r="RNI31" s="672"/>
      <c r="RNJ31" s="672"/>
      <c r="RNK31" s="672"/>
      <c r="RNL31" s="672"/>
      <c r="RNM31" s="672"/>
      <c r="RNN31" s="672"/>
      <c r="RNO31" s="672"/>
      <c r="RNP31" s="672"/>
      <c r="RNQ31" s="672"/>
      <c r="RNR31" s="672"/>
      <c r="RNS31" s="672"/>
      <c r="RNT31" s="672"/>
      <c r="RNU31" s="672"/>
      <c r="RNV31" s="672"/>
      <c r="RNW31" s="672"/>
      <c r="RNX31" s="672"/>
      <c r="RNY31" s="672"/>
      <c r="RNZ31" s="672"/>
      <c r="ROA31" s="672"/>
      <c r="ROB31" s="672"/>
      <c r="ROC31" s="672"/>
      <c r="ROD31" s="672"/>
      <c r="ROE31" s="672"/>
      <c r="ROF31" s="672"/>
      <c r="ROG31" s="672"/>
      <c r="ROH31" s="672"/>
      <c r="ROI31" s="672"/>
      <c r="ROJ31" s="672"/>
      <c r="ROK31" s="672"/>
      <c r="ROL31" s="672"/>
      <c r="ROM31" s="672"/>
      <c r="RON31" s="672"/>
      <c r="ROO31" s="672"/>
      <c r="ROP31" s="672"/>
      <c r="ROQ31" s="672"/>
      <c r="ROR31" s="672"/>
      <c r="ROS31" s="672"/>
      <c r="ROT31" s="672"/>
      <c r="ROU31" s="672"/>
      <c r="ROV31" s="672"/>
      <c r="ROW31" s="672"/>
      <c r="ROX31" s="672"/>
      <c r="ROY31" s="672"/>
      <c r="ROZ31" s="672"/>
      <c r="RPA31" s="672"/>
      <c r="RPB31" s="672"/>
      <c r="RPC31" s="672"/>
      <c r="RPD31" s="672"/>
      <c r="RPE31" s="672"/>
      <c r="RPF31" s="672"/>
      <c r="RPG31" s="672"/>
      <c r="RPH31" s="672"/>
      <c r="RPI31" s="672"/>
      <c r="RPJ31" s="672"/>
      <c r="RPK31" s="672"/>
      <c r="RPL31" s="672"/>
      <c r="RPM31" s="672"/>
      <c r="RPN31" s="672"/>
      <c r="RPO31" s="672"/>
      <c r="RPP31" s="672"/>
      <c r="RPQ31" s="672"/>
      <c r="RPR31" s="672"/>
      <c r="RPS31" s="672"/>
      <c r="RPT31" s="672"/>
      <c r="RPU31" s="672"/>
      <c r="RPV31" s="672"/>
      <c r="RPW31" s="672"/>
      <c r="RPX31" s="672"/>
      <c r="RPY31" s="672"/>
      <c r="RPZ31" s="672"/>
      <c r="RQA31" s="672"/>
      <c r="RQB31" s="672"/>
      <c r="RQC31" s="672"/>
      <c r="RQD31" s="672"/>
      <c r="RQE31" s="672"/>
      <c r="RQF31" s="672"/>
      <c r="RQG31" s="672"/>
      <c r="RQH31" s="672"/>
      <c r="RQI31" s="672"/>
      <c r="RQJ31" s="672"/>
      <c r="RQK31" s="672"/>
      <c r="RQL31" s="672"/>
      <c r="RQM31" s="672"/>
      <c r="RQN31" s="672"/>
      <c r="RQO31" s="672"/>
      <c r="RQP31" s="672"/>
      <c r="RQQ31" s="672"/>
      <c r="RQR31" s="672"/>
      <c r="RQS31" s="672"/>
      <c r="RQT31" s="672"/>
      <c r="RQU31" s="672"/>
      <c r="RQV31" s="672"/>
      <c r="RQW31" s="672"/>
      <c r="RQX31" s="672"/>
      <c r="RQY31" s="672"/>
      <c r="RQZ31" s="672"/>
      <c r="RRA31" s="672"/>
      <c r="RRB31" s="672"/>
      <c r="RRC31" s="672"/>
      <c r="RRD31" s="672"/>
      <c r="RRE31" s="672"/>
      <c r="RRF31" s="672"/>
      <c r="RRG31" s="672"/>
      <c r="RRH31" s="672"/>
      <c r="RRI31" s="672"/>
      <c r="RRJ31" s="672"/>
      <c r="RRK31" s="672"/>
      <c r="RRL31" s="672"/>
      <c r="RRM31" s="672"/>
      <c r="RRN31" s="672"/>
      <c r="RRO31" s="672"/>
      <c r="RRP31" s="672"/>
      <c r="RRQ31" s="672"/>
      <c r="RRR31" s="672"/>
      <c r="RRS31" s="672"/>
      <c r="RRT31" s="672"/>
      <c r="RRU31" s="672"/>
      <c r="RRV31" s="672"/>
      <c r="RRW31" s="672"/>
      <c r="RRX31" s="672"/>
      <c r="RRY31" s="672"/>
      <c r="RRZ31" s="672"/>
      <c r="RSA31" s="672"/>
      <c r="RSB31" s="672"/>
      <c r="RSC31" s="672"/>
      <c r="RSD31" s="672"/>
      <c r="RSE31" s="672"/>
      <c r="RSF31" s="672"/>
      <c r="RSG31" s="672"/>
      <c r="RSH31" s="672"/>
      <c r="RSI31" s="672"/>
      <c r="RSJ31" s="672"/>
      <c r="RSK31" s="672"/>
      <c r="RSL31" s="672"/>
      <c r="RSM31" s="672"/>
      <c r="RSN31" s="672"/>
      <c r="RSO31" s="672"/>
      <c r="RSP31" s="672"/>
      <c r="RSQ31" s="672"/>
      <c r="RSR31" s="672"/>
      <c r="RSS31" s="672"/>
      <c r="RST31" s="672"/>
      <c r="RSU31" s="672"/>
      <c r="RSV31" s="672"/>
      <c r="RSW31" s="672"/>
      <c r="RSX31" s="672"/>
      <c r="RSY31" s="672"/>
      <c r="RSZ31" s="672"/>
      <c r="RTA31" s="672"/>
      <c r="RTB31" s="672"/>
      <c r="RTC31" s="672"/>
      <c r="RTD31" s="672"/>
      <c r="RTE31" s="672"/>
      <c r="RTF31" s="672"/>
      <c r="RTG31" s="672"/>
      <c r="RTH31" s="672"/>
      <c r="RTI31" s="672"/>
      <c r="RTJ31" s="672"/>
      <c r="RTK31" s="672"/>
      <c r="RTL31" s="672"/>
      <c r="RTM31" s="672"/>
      <c r="RTN31" s="672"/>
      <c r="RTO31" s="672"/>
      <c r="RTP31" s="672"/>
      <c r="RTQ31" s="672"/>
      <c r="RTR31" s="672"/>
      <c r="RTS31" s="672"/>
      <c r="RTT31" s="672"/>
      <c r="RTU31" s="672"/>
      <c r="RTV31" s="672"/>
      <c r="RTW31" s="672"/>
      <c r="RTX31" s="672"/>
      <c r="RTY31" s="672"/>
      <c r="RTZ31" s="672"/>
      <c r="RUA31" s="672"/>
      <c r="RUB31" s="672"/>
      <c r="RUC31" s="672"/>
      <c r="RUD31" s="672"/>
      <c r="RUE31" s="672"/>
      <c r="RUF31" s="672"/>
      <c r="RUG31" s="672"/>
      <c r="RUH31" s="672"/>
      <c r="RUI31" s="672"/>
      <c r="RUJ31" s="672"/>
      <c r="RUK31" s="672"/>
      <c r="RUL31" s="672"/>
      <c r="RUM31" s="672"/>
      <c r="RUN31" s="672"/>
      <c r="RUO31" s="672"/>
      <c r="RUP31" s="672"/>
      <c r="RUQ31" s="672"/>
      <c r="RUR31" s="672"/>
      <c r="RUS31" s="672"/>
      <c r="RUT31" s="672"/>
      <c r="RUU31" s="672"/>
      <c r="RUV31" s="672"/>
      <c r="RUW31" s="672"/>
      <c r="RUX31" s="672"/>
      <c r="RUY31" s="672"/>
      <c r="RUZ31" s="672"/>
      <c r="RVA31" s="672"/>
      <c r="RVB31" s="672"/>
      <c r="RVC31" s="672"/>
      <c r="RVD31" s="672"/>
      <c r="RVE31" s="672"/>
      <c r="RVF31" s="672"/>
      <c r="RVG31" s="672"/>
      <c r="RVH31" s="672"/>
      <c r="RVI31" s="672"/>
      <c r="RVJ31" s="672"/>
      <c r="RVK31" s="672"/>
      <c r="RVL31" s="672"/>
      <c r="RVM31" s="672"/>
      <c r="RVN31" s="672"/>
      <c r="RVO31" s="672"/>
      <c r="RVP31" s="672"/>
      <c r="RVQ31" s="672"/>
      <c r="RVR31" s="672"/>
      <c r="RVS31" s="672"/>
      <c r="RVT31" s="672"/>
      <c r="RVU31" s="672"/>
      <c r="RVV31" s="672"/>
      <c r="RVW31" s="672"/>
      <c r="RVX31" s="672"/>
      <c r="RVY31" s="672"/>
      <c r="RVZ31" s="672"/>
      <c r="RWA31" s="672"/>
      <c r="RWB31" s="672"/>
      <c r="RWC31" s="672"/>
      <c r="RWD31" s="672"/>
      <c r="RWE31" s="672"/>
      <c r="RWF31" s="672"/>
      <c r="RWG31" s="672"/>
      <c r="RWH31" s="672"/>
      <c r="RWI31" s="672"/>
      <c r="RWJ31" s="672"/>
      <c r="RWK31" s="672"/>
      <c r="RWL31" s="672"/>
      <c r="RWM31" s="672"/>
      <c r="RWN31" s="672"/>
      <c r="RWO31" s="672"/>
      <c r="RWP31" s="672"/>
      <c r="RWQ31" s="672"/>
      <c r="RWR31" s="672"/>
      <c r="RWS31" s="672"/>
      <c r="RWT31" s="672"/>
      <c r="RWU31" s="672"/>
      <c r="RWV31" s="672"/>
      <c r="RWW31" s="672"/>
      <c r="RWX31" s="672"/>
      <c r="RWY31" s="672"/>
      <c r="RWZ31" s="672"/>
      <c r="RXA31" s="672"/>
      <c r="RXB31" s="672"/>
      <c r="RXC31" s="672"/>
      <c r="RXD31" s="672"/>
      <c r="RXE31" s="672"/>
      <c r="RXF31" s="672"/>
      <c r="RXG31" s="672"/>
      <c r="RXH31" s="672"/>
      <c r="RXI31" s="672"/>
      <c r="RXJ31" s="672"/>
      <c r="RXK31" s="672"/>
      <c r="RXL31" s="672"/>
      <c r="RXM31" s="672"/>
      <c r="RXN31" s="672"/>
      <c r="RXO31" s="672"/>
      <c r="RXP31" s="672"/>
      <c r="RXQ31" s="672"/>
      <c r="RXR31" s="672"/>
      <c r="RXS31" s="672"/>
      <c r="RXT31" s="672"/>
      <c r="RXU31" s="672"/>
      <c r="RXV31" s="672"/>
      <c r="RXW31" s="672"/>
      <c r="RXX31" s="672"/>
      <c r="RXY31" s="672"/>
      <c r="RXZ31" s="672"/>
      <c r="RYA31" s="672"/>
      <c r="RYB31" s="672"/>
      <c r="RYC31" s="672"/>
      <c r="RYD31" s="672"/>
      <c r="RYE31" s="672"/>
      <c r="RYF31" s="672"/>
      <c r="RYG31" s="672"/>
      <c r="RYH31" s="672"/>
      <c r="RYI31" s="672"/>
      <c r="RYJ31" s="672"/>
      <c r="RYK31" s="672"/>
      <c r="RYL31" s="672"/>
      <c r="RYM31" s="672"/>
      <c r="RYN31" s="672"/>
      <c r="RYO31" s="672"/>
      <c r="RYP31" s="672"/>
      <c r="RYQ31" s="672"/>
      <c r="RYR31" s="672"/>
      <c r="RYS31" s="672"/>
      <c r="RYT31" s="672"/>
      <c r="RYU31" s="672"/>
      <c r="RYV31" s="672"/>
      <c r="RYW31" s="672"/>
      <c r="RYX31" s="672"/>
      <c r="RYY31" s="672"/>
      <c r="RYZ31" s="672"/>
      <c r="RZA31" s="672"/>
      <c r="RZB31" s="672"/>
      <c r="RZC31" s="672"/>
      <c r="RZD31" s="672"/>
      <c r="RZE31" s="672"/>
      <c r="RZF31" s="672"/>
      <c r="RZG31" s="672"/>
      <c r="RZH31" s="672"/>
      <c r="RZI31" s="672"/>
      <c r="RZJ31" s="672"/>
      <c r="RZK31" s="672"/>
      <c r="RZL31" s="672"/>
      <c r="RZM31" s="672"/>
      <c r="RZN31" s="672"/>
      <c r="RZO31" s="672"/>
      <c r="RZP31" s="672"/>
      <c r="RZQ31" s="672"/>
      <c r="RZR31" s="672"/>
      <c r="RZS31" s="672"/>
      <c r="RZT31" s="672"/>
      <c r="RZU31" s="672"/>
      <c r="RZV31" s="672"/>
      <c r="RZW31" s="672"/>
      <c r="RZX31" s="672"/>
      <c r="RZY31" s="672"/>
      <c r="RZZ31" s="672"/>
      <c r="SAA31" s="672"/>
      <c r="SAB31" s="672"/>
      <c r="SAC31" s="672"/>
      <c r="SAD31" s="672"/>
      <c r="SAE31" s="672"/>
      <c r="SAF31" s="672"/>
      <c r="SAG31" s="672"/>
      <c r="SAH31" s="672"/>
      <c r="SAI31" s="672"/>
      <c r="SAJ31" s="672"/>
      <c r="SAK31" s="672"/>
      <c r="SAL31" s="672"/>
      <c r="SAM31" s="672"/>
      <c r="SAN31" s="672"/>
      <c r="SAO31" s="672"/>
      <c r="SAP31" s="672"/>
      <c r="SAQ31" s="672"/>
      <c r="SAR31" s="672"/>
      <c r="SAS31" s="672"/>
      <c r="SAT31" s="672"/>
      <c r="SAU31" s="672"/>
      <c r="SAV31" s="672"/>
      <c r="SAW31" s="672"/>
      <c r="SAX31" s="672"/>
      <c r="SAY31" s="672"/>
      <c r="SAZ31" s="672"/>
      <c r="SBA31" s="672"/>
      <c r="SBB31" s="672"/>
      <c r="SBC31" s="672"/>
      <c r="SBD31" s="672"/>
      <c r="SBE31" s="672"/>
      <c r="SBF31" s="672"/>
      <c r="SBG31" s="672"/>
      <c r="SBH31" s="672"/>
      <c r="SBI31" s="672"/>
      <c r="SBJ31" s="672"/>
      <c r="SBK31" s="672"/>
      <c r="SBL31" s="672"/>
      <c r="SBM31" s="672"/>
      <c r="SBN31" s="672"/>
      <c r="SBO31" s="672"/>
      <c r="SBP31" s="672"/>
      <c r="SBQ31" s="672"/>
      <c r="SBR31" s="672"/>
      <c r="SBS31" s="672"/>
      <c r="SBT31" s="672"/>
      <c r="SBU31" s="672"/>
      <c r="SBV31" s="672"/>
      <c r="SBW31" s="672"/>
      <c r="SBX31" s="672"/>
      <c r="SBY31" s="672"/>
      <c r="SBZ31" s="672"/>
      <c r="SCA31" s="672"/>
      <c r="SCB31" s="672"/>
      <c r="SCC31" s="672"/>
      <c r="SCD31" s="672"/>
      <c r="SCE31" s="672"/>
      <c r="SCF31" s="672"/>
      <c r="SCG31" s="672"/>
      <c r="SCH31" s="672"/>
      <c r="SCI31" s="672"/>
      <c r="SCJ31" s="672"/>
      <c r="SCK31" s="672"/>
      <c r="SCL31" s="672"/>
      <c r="SCM31" s="672"/>
      <c r="SCN31" s="672"/>
      <c r="SCO31" s="672"/>
      <c r="SCP31" s="672"/>
      <c r="SCQ31" s="672"/>
      <c r="SCR31" s="672"/>
      <c r="SCS31" s="672"/>
      <c r="SCT31" s="672"/>
      <c r="SCU31" s="672"/>
      <c r="SCV31" s="672"/>
      <c r="SCW31" s="672"/>
      <c r="SCX31" s="672"/>
      <c r="SCY31" s="672"/>
      <c r="SCZ31" s="672"/>
      <c r="SDA31" s="672"/>
      <c r="SDB31" s="672"/>
      <c r="SDC31" s="672"/>
      <c r="SDD31" s="672"/>
      <c r="SDE31" s="672"/>
      <c r="SDF31" s="672"/>
      <c r="SDG31" s="672"/>
      <c r="SDH31" s="672"/>
      <c r="SDI31" s="672"/>
      <c r="SDJ31" s="672"/>
      <c r="SDK31" s="672"/>
      <c r="SDL31" s="672"/>
      <c r="SDM31" s="672"/>
      <c r="SDN31" s="672"/>
      <c r="SDO31" s="672"/>
      <c r="SDP31" s="672"/>
      <c r="SDQ31" s="672"/>
      <c r="SDR31" s="672"/>
      <c r="SDS31" s="672"/>
      <c r="SDT31" s="672"/>
      <c r="SDU31" s="672"/>
      <c r="SDV31" s="672"/>
      <c r="SDW31" s="672"/>
      <c r="SDX31" s="672"/>
      <c r="SDY31" s="672"/>
      <c r="SDZ31" s="672"/>
      <c r="SEA31" s="672"/>
      <c r="SEB31" s="672"/>
      <c r="SEC31" s="672"/>
      <c r="SED31" s="672"/>
      <c r="SEE31" s="672"/>
      <c r="SEF31" s="672"/>
      <c r="SEG31" s="672"/>
      <c r="SEH31" s="672"/>
      <c r="SEI31" s="672"/>
      <c r="SEJ31" s="672"/>
      <c r="SEK31" s="672"/>
      <c r="SEL31" s="672"/>
      <c r="SEM31" s="672"/>
      <c r="SEN31" s="672"/>
      <c r="SEO31" s="672"/>
      <c r="SEP31" s="672"/>
      <c r="SEQ31" s="672"/>
      <c r="SER31" s="672"/>
      <c r="SES31" s="672"/>
      <c r="SET31" s="672"/>
      <c r="SEU31" s="672"/>
      <c r="SEV31" s="672"/>
      <c r="SEW31" s="672"/>
      <c r="SEX31" s="672"/>
      <c r="SEY31" s="672"/>
      <c r="SEZ31" s="672"/>
      <c r="SFA31" s="672"/>
      <c r="SFB31" s="672"/>
      <c r="SFC31" s="672"/>
      <c r="SFD31" s="672"/>
      <c r="SFE31" s="672"/>
      <c r="SFF31" s="672"/>
      <c r="SFG31" s="672"/>
      <c r="SFH31" s="672"/>
      <c r="SFI31" s="672"/>
      <c r="SFJ31" s="672"/>
      <c r="SFK31" s="672"/>
      <c r="SFL31" s="672"/>
      <c r="SFM31" s="672"/>
      <c r="SFN31" s="672"/>
      <c r="SFO31" s="672"/>
      <c r="SFP31" s="672"/>
      <c r="SFQ31" s="672"/>
      <c r="SFR31" s="672"/>
      <c r="SFS31" s="672"/>
      <c r="SFT31" s="672"/>
      <c r="SFU31" s="672"/>
      <c r="SFV31" s="672"/>
      <c r="SFW31" s="672"/>
      <c r="SFX31" s="672"/>
      <c r="SFY31" s="672"/>
      <c r="SFZ31" s="672"/>
      <c r="SGA31" s="672"/>
      <c r="SGB31" s="672"/>
      <c r="SGC31" s="672"/>
      <c r="SGD31" s="672"/>
      <c r="SGE31" s="672"/>
      <c r="SGF31" s="672"/>
      <c r="SGG31" s="672"/>
      <c r="SGH31" s="672"/>
      <c r="SGI31" s="672"/>
      <c r="SGJ31" s="672"/>
      <c r="SGK31" s="672"/>
      <c r="SGL31" s="672"/>
      <c r="SGM31" s="672"/>
      <c r="SGN31" s="672"/>
      <c r="SGO31" s="672"/>
      <c r="SGP31" s="672"/>
      <c r="SGQ31" s="672"/>
      <c r="SGR31" s="672"/>
      <c r="SGS31" s="672"/>
      <c r="SGT31" s="672"/>
      <c r="SGU31" s="672"/>
      <c r="SGV31" s="672"/>
      <c r="SGW31" s="672"/>
      <c r="SGX31" s="672"/>
      <c r="SGY31" s="672"/>
      <c r="SGZ31" s="672"/>
      <c r="SHA31" s="672"/>
      <c r="SHB31" s="672"/>
      <c r="SHC31" s="672"/>
      <c r="SHD31" s="672"/>
      <c r="SHE31" s="672"/>
      <c r="SHF31" s="672"/>
      <c r="SHG31" s="672"/>
      <c r="SHH31" s="672"/>
      <c r="SHI31" s="672"/>
      <c r="SHJ31" s="672"/>
      <c r="SHK31" s="672"/>
      <c r="SHL31" s="672"/>
      <c r="SHM31" s="672"/>
      <c r="SHN31" s="672"/>
      <c r="SHO31" s="672"/>
      <c r="SHP31" s="672"/>
      <c r="SHQ31" s="672"/>
      <c r="SHR31" s="672"/>
      <c r="SHS31" s="672"/>
      <c r="SHT31" s="672"/>
      <c r="SHU31" s="672"/>
      <c r="SHV31" s="672"/>
      <c r="SHW31" s="672"/>
      <c r="SHX31" s="672"/>
      <c r="SHY31" s="672"/>
      <c r="SHZ31" s="672"/>
      <c r="SIA31" s="672"/>
      <c r="SIB31" s="672"/>
      <c r="SIC31" s="672"/>
      <c r="SID31" s="672"/>
      <c r="SIE31" s="672"/>
      <c r="SIF31" s="672"/>
      <c r="SIG31" s="672"/>
      <c r="SIH31" s="672"/>
      <c r="SII31" s="672"/>
      <c r="SIJ31" s="672"/>
      <c r="SIK31" s="672"/>
      <c r="SIL31" s="672"/>
      <c r="SIM31" s="672"/>
      <c r="SIN31" s="672"/>
      <c r="SIO31" s="672"/>
      <c r="SIP31" s="672"/>
      <c r="SIQ31" s="672"/>
      <c r="SIR31" s="672"/>
      <c r="SIS31" s="672"/>
      <c r="SIT31" s="672"/>
      <c r="SIU31" s="672"/>
      <c r="SIV31" s="672"/>
      <c r="SIW31" s="672"/>
      <c r="SIX31" s="672"/>
      <c r="SIY31" s="672"/>
      <c r="SIZ31" s="672"/>
      <c r="SJA31" s="672"/>
      <c r="SJB31" s="672"/>
      <c r="SJC31" s="672"/>
      <c r="SJD31" s="672"/>
      <c r="SJE31" s="672"/>
      <c r="SJF31" s="672"/>
      <c r="SJG31" s="672"/>
      <c r="SJH31" s="672"/>
      <c r="SJI31" s="672"/>
      <c r="SJJ31" s="672"/>
      <c r="SJK31" s="672"/>
      <c r="SJL31" s="672"/>
      <c r="SJM31" s="672"/>
      <c r="SJN31" s="672"/>
      <c r="SJO31" s="672"/>
      <c r="SJP31" s="672"/>
      <c r="SJQ31" s="672"/>
      <c r="SJR31" s="672"/>
      <c r="SJS31" s="672"/>
      <c r="SJT31" s="672"/>
      <c r="SJU31" s="672"/>
      <c r="SJV31" s="672"/>
      <c r="SJW31" s="672"/>
      <c r="SJX31" s="672"/>
      <c r="SJY31" s="672"/>
      <c r="SJZ31" s="672"/>
      <c r="SKA31" s="672"/>
      <c r="SKB31" s="672"/>
      <c r="SKC31" s="672"/>
      <c r="SKD31" s="672"/>
      <c r="SKE31" s="672"/>
      <c r="SKF31" s="672"/>
      <c r="SKG31" s="672"/>
      <c r="SKH31" s="672"/>
      <c r="SKI31" s="672"/>
      <c r="SKJ31" s="672"/>
      <c r="SKK31" s="672"/>
      <c r="SKL31" s="672"/>
      <c r="SKM31" s="672"/>
      <c r="SKN31" s="672"/>
      <c r="SKO31" s="672"/>
      <c r="SKP31" s="672"/>
      <c r="SKQ31" s="672"/>
      <c r="SKR31" s="672"/>
      <c r="SKS31" s="672"/>
      <c r="SKT31" s="672"/>
      <c r="SKU31" s="672"/>
      <c r="SKV31" s="672"/>
      <c r="SKW31" s="672"/>
      <c r="SKX31" s="672"/>
      <c r="SKY31" s="672"/>
      <c r="SKZ31" s="672"/>
      <c r="SLA31" s="672"/>
      <c r="SLB31" s="672"/>
      <c r="SLC31" s="672"/>
      <c r="SLD31" s="672"/>
      <c r="SLE31" s="672"/>
      <c r="SLF31" s="672"/>
      <c r="SLG31" s="672"/>
      <c r="SLH31" s="672"/>
      <c r="SLI31" s="672"/>
      <c r="SLJ31" s="672"/>
      <c r="SLK31" s="672"/>
      <c r="SLL31" s="672"/>
      <c r="SLM31" s="672"/>
      <c r="SLN31" s="672"/>
      <c r="SLO31" s="672"/>
      <c r="SLP31" s="672"/>
      <c r="SLQ31" s="672"/>
      <c r="SLR31" s="672"/>
      <c r="SLS31" s="672"/>
      <c r="SLT31" s="672"/>
      <c r="SLU31" s="672"/>
      <c r="SLV31" s="672"/>
      <c r="SLW31" s="672"/>
      <c r="SLX31" s="672"/>
      <c r="SLY31" s="672"/>
      <c r="SLZ31" s="672"/>
      <c r="SMA31" s="672"/>
      <c r="SMB31" s="672"/>
      <c r="SMC31" s="672"/>
      <c r="SMD31" s="672"/>
      <c r="SME31" s="672"/>
      <c r="SMF31" s="672"/>
      <c r="SMG31" s="672"/>
      <c r="SMH31" s="672"/>
      <c r="SMI31" s="672"/>
      <c r="SMJ31" s="672"/>
      <c r="SMK31" s="672"/>
      <c r="SML31" s="672"/>
      <c r="SMM31" s="672"/>
      <c r="SMN31" s="672"/>
      <c r="SMO31" s="672"/>
      <c r="SMP31" s="672"/>
      <c r="SMQ31" s="672"/>
      <c r="SMR31" s="672"/>
      <c r="SMS31" s="672"/>
      <c r="SMT31" s="672"/>
      <c r="SMU31" s="672"/>
      <c r="SMV31" s="672"/>
      <c r="SMW31" s="672"/>
      <c r="SMX31" s="672"/>
      <c r="SMY31" s="672"/>
      <c r="SMZ31" s="672"/>
      <c r="SNA31" s="672"/>
      <c r="SNB31" s="672"/>
      <c r="SNC31" s="672"/>
      <c r="SND31" s="672"/>
      <c r="SNE31" s="672"/>
      <c r="SNF31" s="672"/>
      <c r="SNG31" s="672"/>
      <c r="SNH31" s="672"/>
      <c r="SNI31" s="672"/>
      <c r="SNJ31" s="672"/>
      <c r="SNK31" s="672"/>
      <c r="SNL31" s="672"/>
      <c r="SNM31" s="672"/>
      <c r="SNN31" s="672"/>
      <c r="SNO31" s="672"/>
      <c r="SNP31" s="672"/>
      <c r="SNQ31" s="672"/>
      <c r="SNR31" s="672"/>
      <c r="SNS31" s="672"/>
      <c r="SNT31" s="672"/>
      <c r="SNU31" s="672"/>
      <c r="SNV31" s="672"/>
      <c r="SNW31" s="672"/>
      <c r="SNX31" s="672"/>
      <c r="SNY31" s="672"/>
      <c r="SNZ31" s="672"/>
      <c r="SOA31" s="672"/>
      <c r="SOB31" s="672"/>
      <c r="SOC31" s="672"/>
      <c r="SOD31" s="672"/>
      <c r="SOE31" s="672"/>
      <c r="SOF31" s="672"/>
      <c r="SOG31" s="672"/>
      <c r="SOH31" s="672"/>
      <c r="SOI31" s="672"/>
      <c r="SOJ31" s="672"/>
      <c r="SOK31" s="672"/>
      <c r="SOL31" s="672"/>
      <c r="SOM31" s="672"/>
      <c r="SON31" s="672"/>
      <c r="SOO31" s="672"/>
      <c r="SOP31" s="672"/>
      <c r="SOQ31" s="672"/>
      <c r="SOR31" s="672"/>
      <c r="SOS31" s="672"/>
      <c r="SOT31" s="672"/>
      <c r="SOU31" s="672"/>
      <c r="SOV31" s="672"/>
      <c r="SOW31" s="672"/>
      <c r="SOX31" s="672"/>
      <c r="SOY31" s="672"/>
      <c r="SOZ31" s="672"/>
      <c r="SPA31" s="672"/>
      <c r="SPB31" s="672"/>
      <c r="SPC31" s="672"/>
      <c r="SPD31" s="672"/>
      <c r="SPE31" s="672"/>
      <c r="SPF31" s="672"/>
      <c r="SPG31" s="672"/>
      <c r="SPH31" s="672"/>
      <c r="SPI31" s="672"/>
      <c r="SPJ31" s="672"/>
      <c r="SPK31" s="672"/>
      <c r="SPL31" s="672"/>
      <c r="SPM31" s="672"/>
      <c r="SPN31" s="672"/>
      <c r="SPO31" s="672"/>
      <c r="SPP31" s="672"/>
      <c r="SPQ31" s="672"/>
      <c r="SPR31" s="672"/>
      <c r="SPS31" s="672"/>
      <c r="SPT31" s="672"/>
      <c r="SPU31" s="672"/>
      <c r="SPV31" s="672"/>
      <c r="SPW31" s="672"/>
      <c r="SPX31" s="672"/>
      <c r="SPY31" s="672"/>
      <c r="SPZ31" s="672"/>
      <c r="SQA31" s="672"/>
      <c r="SQB31" s="672"/>
      <c r="SQC31" s="672"/>
      <c r="SQD31" s="672"/>
      <c r="SQE31" s="672"/>
      <c r="SQF31" s="672"/>
      <c r="SQG31" s="672"/>
      <c r="SQH31" s="672"/>
      <c r="SQI31" s="672"/>
      <c r="SQJ31" s="672"/>
      <c r="SQK31" s="672"/>
      <c r="SQL31" s="672"/>
      <c r="SQM31" s="672"/>
      <c r="SQN31" s="672"/>
      <c r="SQO31" s="672"/>
      <c r="SQP31" s="672"/>
      <c r="SQQ31" s="672"/>
      <c r="SQR31" s="672"/>
      <c r="SQS31" s="672"/>
      <c r="SQT31" s="672"/>
      <c r="SQU31" s="672"/>
      <c r="SQV31" s="672"/>
      <c r="SQW31" s="672"/>
      <c r="SQX31" s="672"/>
      <c r="SQY31" s="672"/>
      <c r="SQZ31" s="672"/>
      <c r="SRA31" s="672"/>
      <c r="SRB31" s="672"/>
      <c r="SRC31" s="672"/>
      <c r="SRD31" s="672"/>
      <c r="SRE31" s="672"/>
      <c r="SRF31" s="672"/>
      <c r="SRG31" s="672"/>
      <c r="SRH31" s="672"/>
      <c r="SRI31" s="672"/>
      <c r="SRJ31" s="672"/>
      <c r="SRK31" s="672"/>
      <c r="SRL31" s="672"/>
      <c r="SRM31" s="672"/>
      <c r="SRN31" s="672"/>
      <c r="SRO31" s="672"/>
      <c r="SRP31" s="672"/>
      <c r="SRQ31" s="672"/>
      <c r="SRR31" s="672"/>
      <c r="SRS31" s="672"/>
      <c r="SRT31" s="672"/>
      <c r="SRU31" s="672"/>
      <c r="SRV31" s="672"/>
      <c r="SRW31" s="672"/>
      <c r="SRX31" s="672"/>
      <c r="SRY31" s="672"/>
      <c r="SRZ31" s="672"/>
      <c r="SSA31" s="672"/>
      <c r="SSB31" s="672"/>
      <c r="SSC31" s="672"/>
      <c r="SSD31" s="672"/>
      <c r="SSE31" s="672"/>
      <c r="SSF31" s="672"/>
      <c r="SSG31" s="672"/>
      <c r="SSH31" s="672"/>
      <c r="SSI31" s="672"/>
      <c r="SSJ31" s="672"/>
      <c r="SSK31" s="672"/>
      <c r="SSL31" s="672"/>
      <c r="SSM31" s="672"/>
      <c r="SSN31" s="672"/>
      <c r="SSO31" s="672"/>
      <c r="SSP31" s="672"/>
      <c r="SSQ31" s="672"/>
      <c r="SSR31" s="672"/>
      <c r="SSS31" s="672"/>
      <c r="SST31" s="672"/>
      <c r="SSU31" s="672"/>
      <c r="SSV31" s="672"/>
      <c r="SSW31" s="672"/>
      <c r="SSX31" s="672"/>
      <c r="SSY31" s="672"/>
      <c r="SSZ31" s="672"/>
      <c r="STA31" s="672"/>
      <c r="STB31" s="672"/>
      <c r="STC31" s="672"/>
      <c r="STD31" s="672"/>
      <c r="STE31" s="672"/>
      <c r="STF31" s="672"/>
      <c r="STG31" s="672"/>
      <c r="STH31" s="672"/>
      <c r="STI31" s="672"/>
      <c r="STJ31" s="672"/>
      <c r="STK31" s="672"/>
      <c r="STL31" s="672"/>
      <c r="STM31" s="672"/>
      <c r="STN31" s="672"/>
      <c r="STO31" s="672"/>
      <c r="STP31" s="672"/>
      <c r="STQ31" s="672"/>
      <c r="STR31" s="672"/>
      <c r="STS31" s="672"/>
      <c r="STT31" s="672"/>
      <c r="STU31" s="672"/>
      <c r="STV31" s="672"/>
      <c r="STW31" s="672"/>
      <c r="STX31" s="672"/>
      <c r="STY31" s="672"/>
      <c r="STZ31" s="672"/>
      <c r="SUA31" s="672"/>
      <c r="SUB31" s="672"/>
      <c r="SUC31" s="672"/>
      <c r="SUD31" s="672"/>
      <c r="SUE31" s="672"/>
      <c r="SUF31" s="672"/>
      <c r="SUG31" s="672"/>
      <c r="SUH31" s="672"/>
      <c r="SUI31" s="672"/>
      <c r="SUJ31" s="672"/>
      <c r="SUK31" s="672"/>
      <c r="SUL31" s="672"/>
      <c r="SUM31" s="672"/>
      <c r="SUN31" s="672"/>
      <c r="SUO31" s="672"/>
      <c r="SUP31" s="672"/>
      <c r="SUQ31" s="672"/>
      <c r="SUR31" s="672"/>
      <c r="SUS31" s="672"/>
      <c r="SUT31" s="672"/>
      <c r="SUU31" s="672"/>
      <c r="SUV31" s="672"/>
      <c r="SUW31" s="672"/>
      <c r="SUX31" s="672"/>
      <c r="SUY31" s="672"/>
      <c r="SUZ31" s="672"/>
      <c r="SVA31" s="672"/>
      <c r="SVB31" s="672"/>
      <c r="SVC31" s="672"/>
      <c r="SVD31" s="672"/>
      <c r="SVE31" s="672"/>
      <c r="SVF31" s="672"/>
      <c r="SVG31" s="672"/>
      <c r="SVH31" s="672"/>
      <c r="SVI31" s="672"/>
      <c r="SVJ31" s="672"/>
      <c r="SVK31" s="672"/>
      <c r="SVL31" s="672"/>
      <c r="SVM31" s="672"/>
      <c r="SVN31" s="672"/>
      <c r="SVO31" s="672"/>
      <c r="SVP31" s="672"/>
      <c r="SVQ31" s="672"/>
      <c r="SVR31" s="672"/>
      <c r="SVS31" s="672"/>
      <c r="SVT31" s="672"/>
      <c r="SVU31" s="672"/>
      <c r="SVV31" s="672"/>
      <c r="SVW31" s="672"/>
      <c r="SVX31" s="672"/>
      <c r="SVY31" s="672"/>
      <c r="SVZ31" s="672"/>
      <c r="SWA31" s="672"/>
      <c r="SWB31" s="672"/>
      <c r="SWC31" s="672"/>
      <c r="SWD31" s="672"/>
      <c r="SWE31" s="672"/>
      <c r="SWF31" s="672"/>
      <c r="SWG31" s="672"/>
      <c r="SWH31" s="672"/>
      <c r="SWI31" s="672"/>
      <c r="SWJ31" s="672"/>
      <c r="SWK31" s="672"/>
      <c r="SWL31" s="672"/>
      <c r="SWM31" s="672"/>
      <c r="SWN31" s="672"/>
      <c r="SWO31" s="672"/>
      <c r="SWP31" s="672"/>
      <c r="SWQ31" s="672"/>
      <c r="SWR31" s="672"/>
      <c r="SWS31" s="672"/>
      <c r="SWT31" s="672"/>
      <c r="SWU31" s="672"/>
      <c r="SWV31" s="672"/>
      <c r="SWW31" s="672"/>
      <c r="SWX31" s="672"/>
      <c r="SWY31" s="672"/>
      <c r="SWZ31" s="672"/>
      <c r="SXA31" s="672"/>
      <c r="SXB31" s="672"/>
      <c r="SXC31" s="672"/>
      <c r="SXD31" s="672"/>
      <c r="SXE31" s="672"/>
      <c r="SXF31" s="672"/>
      <c r="SXG31" s="672"/>
      <c r="SXH31" s="672"/>
      <c r="SXI31" s="672"/>
      <c r="SXJ31" s="672"/>
      <c r="SXK31" s="672"/>
      <c r="SXL31" s="672"/>
      <c r="SXM31" s="672"/>
      <c r="SXN31" s="672"/>
      <c r="SXO31" s="672"/>
      <c r="SXP31" s="672"/>
      <c r="SXQ31" s="672"/>
      <c r="SXR31" s="672"/>
      <c r="SXS31" s="672"/>
      <c r="SXT31" s="672"/>
      <c r="SXU31" s="672"/>
      <c r="SXV31" s="672"/>
      <c r="SXW31" s="672"/>
      <c r="SXX31" s="672"/>
      <c r="SXY31" s="672"/>
      <c r="SXZ31" s="672"/>
      <c r="SYA31" s="672"/>
      <c r="SYB31" s="672"/>
      <c r="SYC31" s="672"/>
      <c r="SYD31" s="672"/>
      <c r="SYE31" s="672"/>
      <c r="SYF31" s="672"/>
      <c r="SYG31" s="672"/>
      <c r="SYH31" s="672"/>
      <c r="SYI31" s="672"/>
      <c r="SYJ31" s="672"/>
      <c r="SYK31" s="672"/>
      <c r="SYL31" s="672"/>
      <c r="SYM31" s="672"/>
      <c r="SYN31" s="672"/>
      <c r="SYO31" s="672"/>
      <c r="SYP31" s="672"/>
      <c r="SYQ31" s="672"/>
      <c r="SYR31" s="672"/>
      <c r="SYS31" s="672"/>
      <c r="SYT31" s="672"/>
      <c r="SYU31" s="672"/>
      <c r="SYV31" s="672"/>
      <c r="SYW31" s="672"/>
      <c r="SYX31" s="672"/>
      <c r="SYY31" s="672"/>
      <c r="SYZ31" s="672"/>
      <c r="SZA31" s="672"/>
      <c r="SZB31" s="672"/>
      <c r="SZC31" s="672"/>
      <c r="SZD31" s="672"/>
      <c r="SZE31" s="672"/>
      <c r="SZF31" s="672"/>
      <c r="SZG31" s="672"/>
      <c r="SZH31" s="672"/>
      <c r="SZI31" s="672"/>
      <c r="SZJ31" s="672"/>
      <c r="SZK31" s="672"/>
      <c r="SZL31" s="672"/>
      <c r="SZM31" s="672"/>
      <c r="SZN31" s="672"/>
      <c r="SZO31" s="672"/>
      <c r="SZP31" s="672"/>
      <c r="SZQ31" s="672"/>
      <c r="SZR31" s="672"/>
      <c r="SZS31" s="672"/>
      <c r="SZT31" s="672"/>
      <c r="SZU31" s="672"/>
      <c r="SZV31" s="672"/>
      <c r="SZW31" s="672"/>
      <c r="SZX31" s="672"/>
      <c r="SZY31" s="672"/>
      <c r="SZZ31" s="672"/>
      <c r="TAA31" s="672"/>
      <c r="TAB31" s="672"/>
      <c r="TAC31" s="672"/>
      <c r="TAD31" s="672"/>
      <c r="TAE31" s="672"/>
      <c r="TAF31" s="672"/>
      <c r="TAG31" s="672"/>
      <c r="TAH31" s="672"/>
      <c r="TAI31" s="672"/>
      <c r="TAJ31" s="672"/>
      <c r="TAK31" s="672"/>
      <c r="TAL31" s="672"/>
      <c r="TAM31" s="672"/>
      <c r="TAN31" s="672"/>
      <c r="TAO31" s="672"/>
      <c r="TAP31" s="672"/>
      <c r="TAQ31" s="672"/>
      <c r="TAR31" s="672"/>
      <c r="TAS31" s="672"/>
      <c r="TAT31" s="672"/>
      <c r="TAU31" s="672"/>
      <c r="TAV31" s="672"/>
      <c r="TAW31" s="672"/>
      <c r="TAX31" s="672"/>
      <c r="TAY31" s="672"/>
      <c r="TAZ31" s="672"/>
      <c r="TBA31" s="672"/>
      <c r="TBB31" s="672"/>
      <c r="TBC31" s="672"/>
      <c r="TBD31" s="672"/>
      <c r="TBE31" s="672"/>
      <c r="TBF31" s="672"/>
      <c r="TBG31" s="672"/>
      <c r="TBH31" s="672"/>
      <c r="TBI31" s="672"/>
      <c r="TBJ31" s="672"/>
      <c r="TBK31" s="672"/>
      <c r="TBL31" s="672"/>
      <c r="TBM31" s="672"/>
      <c r="TBN31" s="672"/>
      <c r="TBO31" s="672"/>
      <c r="TBP31" s="672"/>
      <c r="TBQ31" s="672"/>
      <c r="TBR31" s="672"/>
      <c r="TBS31" s="672"/>
      <c r="TBT31" s="672"/>
      <c r="TBU31" s="672"/>
      <c r="TBV31" s="672"/>
      <c r="TBW31" s="672"/>
      <c r="TBX31" s="672"/>
      <c r="TBY31" s="672"/>
      <c r="TBZ31" s="672"/>
      <c r="TCA31" s="672"/>
      <c r="TCB31" s="672"/>
      <c r="TCC31" s="672"/>
      <c r="TCD31" s="672"/>
      <c r="TCE31" s="672"/>
      <c r="TCF31" s="672"/>
      <c r="TCG31" s="672"/>
      <c r="TCH31" s="672"/>
      <c r="TCI31" s="672"/>
      <c r="TCJ31" s="672"/>
      <c r="TCK31" s="672"/>
      <c r="TCL31" s="672"/>
      <c r="TCM31" s="672"/>
      <c r="TCN31" s="672"/>
      <c r="TCO31" s="672"/>
      <c r="TCP31" s="672"/>
      <c r="TCQ31" s="672"/>
      <c r="TCR31" s="672"/>
      <c r="TCS31" s="672"/>
      <c r="TCT31" s="672"/>
      <c r="TCU31" s="672"/>
      <c r="TCV31" s="672"/>
      <c r="TCW31" s="672"/>
      <c r="TCX31" s="672"/>
      <c r="TCY31" s="672"/>
      <c r="TCZ31" s="672"/>
      <c r="TDA31" s="672"/>
      <c r="TDB31" s="672"/>
      <c r="TDC31" s="672"/>
      <c r="TDD31" s="672"/>
      <c r="TDE31" s="672"/>
      <c r="TDF31" s="672"/>
      <c r="TDG31" s="672"/>
      <c r="TDH31" s="672"/>
      <c r="TDI31" s="672"/>
      <c r="TDJ31" s="672"/>
      <c r="TDK31" s="672"/>
      <c r="TDL31" s="672"/>
      <c r="TDM31" s="672"/>
      <c r="TDN31" s="672"/>
      <c r="TDO31" s="672"/>
      <c r="TDP31" s="672"/>
      <c r="TDQ31" s="672"/>
      <c r="TDR31" s="672"/>
      <c r="TDS31" s="672"/>
      <c r="TDT31" s="672"/>
      <c r="TDU31" s="672"/>
      <c r="TDV31" s="672"/>
      <c r="TDW31" s="672"/>
      <c r="TDX31" s="672"/>
      <c r="TDY31" s="672"/>
      <c r="TDZ31" s="672"/>
      <c r="TEA31" s="672"/>
      <c r="TEB31" s="672"/>
      <c r="TEC31" s="672"/>
      <c r="TED31" s="672"/>
      <c r="TEE31" s="672"/>
      <c r="TEF31" s="672"/>
      <c r="TEG31" s="672"/>
      <c r="TEH31" s="672"/>
      <c r="TEI31" s="672"/>
      <c r="TEJ31" s="672"/>
      <c r="TEK31" s="672"/>
      <c r="TEL31" s="672"/>
      <c r="TEM31" s="672"/>
      <c r="TEN31" s="672"/>
      <c r="TEO31" s="672"/>
      <c r="TEP31" s="672"/>
      <c r="TEQ31" s="672"/>
      <c r="TER31" s="672"/>
      <c r="TES31" s="672"/>
      <c r="TET31" s="672"/>
      <c r="TEU31" s="672"/>
      <c r="TEV31" s="672"/>
      <c r="TEW31" s="672"/>
      <c r="TEX31" s="672"/>
      <c r="TEY31" s="672"/>
      <c r="TEZ31" s="672"/>
      <c r="TFA31" s="672"/>
      <c r="TFB31" s="672"/>
      <c r="TFC31" s="672"/>
      <c r="TFD31" s="672"/>
      <c r="TFE31" s="672"/>
      <c r="TFF31" s="672"/>
      <c r="TFG31" s="672"/>
      <c r="TFH31" s="672"/>
      <c r="TFI31" s="672"/>
      <c r="TFJ31" s="672"/>
      <c r="TFK31" s="672"/>
      <c r="TFL31" s="672"/>
      <c r="TFM31" s="672"/>
      <c r="TFN31" s="672"/>
      <c r="TFO31" s="672"/>
      <c r="TFP31" s="672"/>
      <c r="TFQ31" s="672"/>
      <c r="TFR31" s="672"/>
      <c r="TFS31" s="672"/>
      <c r="TFT31" s="672"/>
      <c r="TFU31" s="672"/>
      <c r="TFV31" s="672"/>
      <c r="TFW31" s="672"/>
      <c r="TFX31" s="672"/>
      <c r="TFY31" s="672"/>
      <c r="TFZ31" s="672"/>
      <c r="TGA31" s="672"/>
      <c r="TGB31" s="672"/>
      <c r="TGC31" s="672"/>
      <c r="TGD31" s="672"/>
      <c r="TGE31" s="672"/>
      <c r="TGF31" s="672"/>
      <c r="TGG31" s="672"/>
      <c r="TGH31" s="672"/>
      <c r="TGI31" s="672"/>
      <c r="TGJ31" s="672"/>
      <c r="TGK31" s="672"/>
      <c r="TGL31" s="672"/>
      <c r="TGM31" s="672"/>
      <c r="TGN31" s="672"/>
      <c r="TGO31" s="672"/>
      <c r="TGP31" s="672"/>
      <c r="TGQ31" s="672"/>
      <c r="TGR31" s="672"/>
      <c r="TGS31" s="672"/>
      <c r="TGT31" s="672"/>
      <c r="TGU31" s="672"/>
      <c r="TGV31" s="672"/>
      <c r="TGW31" s="672"/>
      <c r="TGX31" s="672"/>
      <c r="TGY31" s="672"/>
      <c r="TGZ31" s="672"/>
      <c r="THA31" s="672"/>
      <c r="THB31" s="672"/>
      <c r="THC31" s="672"/>
      <c r="THD31" s="672"/>
      <c r="THE31" s="672"/>
      <c r="THF31" s="672"/>
      <c r="THG31" s="672"/>
      <c r="THH31" s="672"/>
      <c r="THI31" s="672"/>
      <c r="THJ31" s="672"/>
      <c r="THK31" s="672"/>
      <c r="THL31" s="672"/>
      <c r="THM31" s="672"/>
      <c r="THN31" s="672"/>
      <c r="THO31" s="672"/>
      <c r="THP31" s="672"/>
      <c r="THQ31" s="672"/>
      <c r="THR31" s="672"/>
      <c r="THS31" s="672"/>
      <c r="THT31" s="672"/>
      <c r="THU31" s="672"/>
      <c r="THV31" s="672"/>
      <c r="THW31" s="672"/>
      <c r="THX31" s="672"/>
      <c r="THY31" s="672"/>
      <c r="THZ31" s="672"/>
      <c r="TIA31" s="672"/>
      <c r="TIB31" s="672"/>
      <c r="TIC31" s="672"/>
      <c r="TID31" s="672"/>
      <c r="TIE31" s="672"/>
      <c r="TIF31" s="672"/>
      <c r="TIG31" s="672"/>
      <c r="TIH31" s="672"/>
      <c r="TII31" s="672"/>
      <c r="TIJ31" s="672"/>
      <c r="TIK31" s="672"/>
      <c r="TIL31" s="672"/>
      <c r="TIM31" s="672"/>
      <c r="TIN31" s="672"/>
      <c r="TIO31" s="672"/>
      <c r="TIP31" s="672"/>
      <c r="TIQ31" s="672"/>
      <c r="TIR31" s="672"/>
      <c r="TIS31" s="672"/>
      <c r="TIT31" s="672"/>
      <c r="TIU31" s="672"/>
      <c r="TIV31" s="672"/>
      <c r="TIW31" s="672"/>
      <c r="TIX31" s="672"/>
      <c r="TIY31" s="672"/>
      <c r="TIZ31" s="672"/>
      <c r="TJA31" s="672"/>
      <c r="TJB31" s="672"/>
      <c r="TJC31" s="672"/>
      <c r="TJD31" s="672"/>
      <c r="TJE31" s="672"/>
      <c r="TJF31" s="672"/>
      <c r="TJG31" s="672"/>
      <c r="TJH31" s="672"/>
      <c r="TJI31" s="672"/>
      <c r="TJJ31" s="672"/>
      <c r="TJK31" s="672"/>
      <c r="TJL31" s="672"/>
      <c r="TJM31" s="672"/>
      <c r="TJN31" s="672"/>
      <c r="TJO31" s="672"/>
      <c r="TJP31" s="672"/>
      <c r="TJQ31" s="672"/>
      <c r="TJR31" s="672"/>
      <c r="TJS31" s="672"/>
      <c r="TJT31" s="672"/>
      <c r="TJU31" s="672"/>
      <c r="TJV31" s="672"/>
      <c r="TJW31" s="672"/>
      <c r="TJX31" s="672"/>
      <c r="TJY31" s="672"/>
      <c r="TJZ31" s="672"/>
      <c r="TKA31" s="672"/>
      <c r="TKB31" s="672"/>
      <c r="TKC31" s="672"/>
      <c r="TKD31" s="672"/>
      <c r="TKE31" s="672"/>
      <c r="TKF31" s="672"/>
      <c r="TKG31" s="672"/>
      <c r="TKH31" s="672"/>
      <c r="TKI31" s="672"/>
      <c r="TKJ31" s="672"/>
      <c r="TKK31" s="672"/>
      <c r="TKL31" s="672"/>
      <c r="TKM31" s="672"/>
      <c r="TKN31" s="672"/>
      <c r="TKO31" s="672"/>
      <c r="TKP31" s="672"/>
      <c r="TKQ31" s="672"/>
      <c r="TKR31" s="672"/>
      <c r="TKS31" s="672"/>
      <c r="TKT31" s="672"/>
      <c r="TKU31" s="672"/>
      <c r="TKV31" s="672"/>
      <c r="TKW31" s="672"/>
      <c r="TKX31" s="672"/>
      <c r="TKY31" s="672"/>
      <c r="TKZ31" s="672"/>
      <c r="TLA31" s="672"/>
      <c r="TLB31" s="672"/>
      <c r="TLC31" s="672"/>
      <c r="TLD31" s="672"/>
      <c r="TLE31" s="672"/>
      <c r="TLF31" s="672"/>
      <c r="TLG31" s="672"/>
      <c r="TLH31" s="672"/>
      <c r="TLI31" s="672"/>
      <c r="TLJ31" s="672"/>
      <c r="TLK31" s="672"/>
      <c r="TLL31" s="672"/>
      <c r="TLM31" s="672"/>
      <c r="TLN31" s="672"/>
      <c r="TLO31" s="672"/>
      <c r="TLP31" s="672"/>
      <c r="TLQ31" s="672"/>
      <c r="TLR31" s="672"/>
      <c r="TLS31" s="672"/>
      <c r="TLT31" s="672"/>
      <c r="TLU31" s="672"/>
      <c r="TLV31" s="672"/>
      <c r="TLW31" s="672"/>
      <c r="TLX31" s="672"/>
      <c r="TLY31" s="672"/>
      <c r="TLZ31" s="672"/>
      <c r="TMA31" s="672"/>
      <c r="TMB31" s="672"/>
      <c r="TMC31" s="672"/>
      <c r="TMD31" s="672"/>
      <c r="TME31" s="672"/>
      <c r="TMF31" s="672"/>
      <c r="TMG31" s="672"/>
      <c r="TMH31" s="672"/>
      <c r="TMI31" s="672"/>
      <c r="TMJ31" s="672"/>
      <c r="TMK31" s="672"/>
      <c r="TML31" s="672"/>
      <c r="TMM31" s="672"/>
      <c r="TMN31" s="672"/>
      <c r="TMO31" s="672"/>
      <c r="TMP31" s="672"/>
      <c r="TMQ31" s="672"/>
      <c r="TMR31" s="672"/>
      <c r="TMS31" s="672"/>
      <c r="TMT31" s="672"/>
      <c r="TMU31" s="672"/>
      <c r="TMV31" s="672"/>
      <c r="TMW31" s="672"/>
      <c r="TMX31" s="672"/>
      <c r="TMY31" s="672"/>
      <c r="TMZ31" s="672"/>
      <c r="TNA31" s="672"/>
      <c r="TNB31" s="672"/>
      <c r="TNC31" s="672"/>
      <c r="TND31" s="672"/>
      <c r="TNE31" s="672"/>
      <c r="TNF31" s="672"/>
      <c r="TNG31" s="672"/>
      <c r="TNH31" s="672"/>
      <c r="TNI31" s="672"/>
      <c r="TNJ31" s="672"/>
      <c r="TNK31" s="672"/>
      <c r="TNL31" s="672"/>
      <c r="TNM31" s="672"/>
      <c r="TNN31" s="672"/>
      <c r="TNO31" s="672"/>
      <c r="TNP31" s="672"/>
      <c r="TNQ31" s="672"/>
      <c r="TNR31" s="672"/>
      <c r="TNS31" s="672"/>
      <c r="TNT31" s="672"/>
      <c r="TNU31" s="672"/>
      <c r="TNV31" s="672"/>
      <c r="TNW31" s="672"/>
      <c r="TNX31" s="672"/>
      <c r="TNY31" s="672"/>
      <c r="TNZ31" s="672"/>
      <c r="TOA31" s="672"/>
      <c r="TOB31" s="672"/>
      <c r="TOC31" s="672"/>
      <c r="TOD31" s="672"/>
      <c r="TOE31" s="672"/>
      <c r="TOF31" s="672"/>
      <c r="TOG31" s="672"/>
      <c r="TOH31" s="672"/>
      <c r="TOI31" s="672"/>
      <c r="TOJ31" s="672"/>
      <c r="TOK31" s="672"/>
      <c r="TOL31" s="672"/>
      <c r="TOM31" s="672"/>
      <c r="TON31" s="672"/>
      <c r="TOO31" s="672"/>
      <c r="TOP31" s="672"/>
      <c r="TOQ31" s="672"/>
      <c r="TOR31" s="672"/>
      <c r="TOS31" s="672"/>
      <c r="TOT31" s="672"/>
      <c r="TOU31" s="672"/>
      <c r="TOV31" s="672"/>
      <c r="TOW31" s="672"/>
      <c r="TOX31" s="672"/>
      <c r="TOY31" s="672"/>
      <c r="TOZ31" s="672"/>
      <c r="TPA31" s="672"/>
      <c r="TPB31" s="672"/>
      <c r="TPC31" s="672"/>
      <c r="TPD31" s="672"/>
      <c r="TPE31" s="672"/>
      <c r="TPF31" s="672"/>
      <c r="TPG31" s="672"/>
      <c r="TPH31" s="672"/>
      <c r="TPI31" s="672"/>
      <c r="TPJ31" s="672"/>
      <c r="TPK31" s="672"/>
      <c r="TPL31" s="672"/>
      <c r="TPM31" s="672"/>
      <c r="TPN31" s="672"/>
      <c r="TPO31" s="672"/>
      <c r="TPP31" s="672"/>
      <c r="TPQ31" s="672"/>
      <c r="TPR31" s="672"/>
      <c r="TPS31" s="672"/>
      <c r="TPT31" s="672"/>
      <c r="TPU31" s="672"/>
      <c r="TPV31" s="672"/>
      <c r="TPW31" s="672"/>
      <c r="TPX31" s="672"/>
      <c r="TPY31" s="672"/>
      <c r="TPZ31" s="672"/>
      <c r="TQA31" s="672"/>
      <c r="TQB31" s="672"/>
      <c r="TQC31" s="672"/>
      <c r="TQD31" s="672"/>
      <c r="TQE31" s="672"/>
      <c r="TQF31" s="672"/>
      <c r="TQG31" s="672"/>
      <c r="TQH31" s="672"/>
      <c r="TQI31" s="672"/>
      <c r="TQJ31" s="672"/>
      <c r="TQK31" s="672"/>
      <c r="TQL31" s="672"/>
      <c r="TQM31" s="672"/>
      <c r="TQN31" s="672"/>
      <c r="TQO31" s="672"/>
      <c r="TQP31" s="672"/>
      <c r="TQQ31" s="672"/>
      <c r="TQR31" s="672"/>
      <c r="TQS31" s="672"/>
      <c r="TQT31" s="672"/>
      <c r="TQU31" s="672"/>
      <c r="TQV31" s="672"/>
      <c r="TQW31" s="672"/>
      <c r="TQX31" s="672"/>
      <c r="TQY31" s="672"/>
      <c r="TQZ31" s="672"/>
      <c r="TRA31" s="672"/>
      <c r="TRB31" s="672"/>
      <c r="TRC31" s="672"/>
      <c r="TRD31" s="672"/>
      <c r="TRE31" s="672"/>
      <c r="TRF31" s="672"/>
      <c r="TRG31" s="672"/>
      <c r="TRH31" s="672"/>
      <c r="TRI31" s="672"/>
      <c r="TRJ31" s="672"/>
      <c r="TRK31" s="672"/>
      <c r="TRL31" s="672"/>
      <c r="TRM31" s="672"/>
      <c r="TRN31" s="672"/>
      <c r="TRO31" s="672"/>
      <c r="TRP31" s="672"/>
      <c r="TRQ31" s="672"/>
      <c r="TRR31" s="672"/>
      <c r="TRS31" s="672"/>
      <c r="TRT31" s="672"/>
      <c r="TRU31" s="672"/>
      <c r="TRV31" s="672"/>
      <c r="TRW31" s="672"/>
      <c r="TRX31" s="672"/>
      <c r="TRY31" s="672"/>
      <c r="TRZ31" s="672"/>
      <c r="TSA31" s="672"/>
      <c r="TSB31" s="672"/>
      <c r="TSC31" s="672"/>
      <c r="TSD31" s="672"/>
      <c r="TSE31" s="672"/>
      <c r="TSF31" s="672"/>
      <c r="TSG31" s="672"/>
      <c r="TSH31" s="672"/>
      <c r="TSI31" s="672"/>
      <c r="TSJ31" s="672"/>
      <c r="TSK31" s="672"/>
      <c r="TSL31" s="672"/>
      <c r="TSM31" s="672"/>
      <c r="TSN31" s="672"/>
      <c r="TSO31" s="672"/>
      <c r="TSP31" s="672"/>
      <c r="TSQ31" s="672"/>
      <c r="TSR31" s="672"/>
      <c r="TSS31" s="672"/>
      <c r="TST31" s="672"/>
      <c r="TSU31" s="672"/>
      <c r="TSV31" s="672"/>
      <c r="TSW31" s="672"/>
      <c r="TSX31" s="672"/>
      <c r="TSY31" s="672"/>
      <c r="TSZ31" s="672"/>
      <c r="TTA31" s="672"/>
      <c r="TTB31" s="672"/>
      <c r="TTC31" s="672"/>
      <c r="TTD31" s="672"/>
      <c r="TTE31" s="672"/>
      <c r="TTF31" s="672"/>
      <c r="TTG31" s="672"/>
      <c r="TTH31" s="672"/>
      <c r="TTI31" s="672"/>
      <c r="TTJ31" s="672"/>
      <c r="TTK31" s="672"/>
      <c r="TTL31" s="672"/>
      <c r="TTM31" s="672"/>
      <c r="TTN31" s="672"/>
      <c r="TTO31" s="672"/>
      <c r="TTP31" s="672"/>
      <c r="TTQ31" s="672"/>
      <c r="TTR31" s="672"/>
      <c r="TTS31" s="672"/>
      <c r="TTT31" s="672"/>
      <c r="TTU31" s="672"/>
      <c r="TTV31" s="672"/>
      <c r="TTW31" s="672"/>
      <c r="TTX31" s="672"/>
      <c r="TTY31" s="672"/>
      <c r="TTZ31" s="672"/>
      <c r="TUA31" s="672"/>
      <c r="TUB31" s="672"/>
      <c r="TUC31" s="672"/>
      <c r="TUD31" s="672"/>
      <c r="TUE31" s="672"/>
      <c r="TUF31" s="672"/>
      <c r="TUG31" s="672"/>
      <c r="TUH31" s="672"/>
      <c r="TUI31" s="672"/>
      <c r="TUJ31" s="672"/>
      <c r="TUK31" s="672"/>
      <c r="TUL31" s="672"/>
      <c r="TUM31" s="672"/>
      <c r="TUN31" s="672"/>
      <c r="TUO31" s="672"/>
      <c r="TUP31" s="672"/>
      <c r="TUQ31" s="672"/>
      <c r="TUR31" s="672"/>
      <c r="TUS31" s="672"/>
      <c r="TUT31" s="672"/>
      <c r="TUU31" s="672"/>
      <c r="TUV31" s="672"/>
      <c r="TUW31" s="672"/>
      <c r="TUX31" s="672"/>
      <c r="TUY31" s="672"/>
      <c r="TUZ31" s="672"/>
      <c r="TVA31" s="672"/>
      <c r="TVB31" s="672"/>
      <c r="TVC31" s="672"/>
      <c r="TVD31" s="672"/>
      <c r="TVE31" s="672"/>
      <c r="TVF31" s="672"/>
      <c r="TVG31" s="672"/>
      <c r="TVH31" s="672"/>
      <c r="TVI31" s="672"/>
      <c r="TVJ31" s="672"/>
      <c r="TVK31" s="672"/>
      <c r="TVL31" s="672"/>
      <c r="TVM31" s="672"/>
      <c r="TVN31" s="672"/>
      <c r="TVO31" s="672"/>
      <c r="TVP31" s="672"/>
      <c r="TVQ31" s="672"/>
      <c r="TVR31" s="672"/>
      <c r="TVS31" s="672"/>
      <c r="TVT31" s="672"/>
      <c r="TVU31" s="672"/>
      <c r="TVV31" s="672"/>
      <c r="TVW31" s="672"/>
      <c r="TVX31" s="672"/>
      <c r="TVY31" s="672"/>
      <c r="TVZ31" s="672"/>
      <c r="TWA31" s="672"/>
      <c r="TWB31" s="672"/>
      <c r="TWC31" s="672"/>
      <c r="TWD31" s="672"/>
      <c r="TWE31" s="672"/>
      <c r="TWF31" s="672"/>
      <c r="TWG31" s="672"/>
      <c r="TWH31" s="672"/>
      <c r="TWI31" s="672"/>
      <c r="TWJ31" s="672"/>
      <c r="TWK31" s="672"/>
      <c r="TWL31" s="672"/>
      <c r="TWM31" s="672"/>
      <c r="TWN31" s="672"/>
      <c r="TWO31" s="672"/>
      <c r="TWP31" s="672"/>
      <c r="TWQ31" s="672"/>
      <c r="TWR31" s="672"/>
      <c r="TWS31" s="672"/>
      <c r="TWT31" s="672"/>
      <c r="TWU31" s="672"/>
      <c r="TWV31" s="672"/>
      <c r="TWW31" s="672"/>
      <c r="TWX31" s="672"/>
      <c r="TWY31" s="672"/>
      <c r="TWZ31" s="672"/>
      <c r="TXA31" s="672"/>
      <c r="TXB31" s="672"/>
      <c r="TXC31" s="672"/>
      <c r="TXD31" s="672"/>
      <c r="TXE31" s="672"/>
      <c r="TXF31" s="672"/>
      <c r="TXG31" s="672"/>
      <c r="TXH31" s="672"/>
      <c r="TXI31" s="672"/>
      <c r="TXJ31" s="672"/>
      <c r="TXK31" s="672"/>
      <c r="TXL31" s="672"/>
      <c r="TXM31" s="672"/>
      <c r="TXN31" s="672"/>
      <c r="TXO31" s="672"/>
      <c r="TXP31" s="672"/>
      <c r="TXQ31" s="672"/>
      <c r="TXR31" s="672"/>
      <c r="TXS31" s="672"/>
      <c r="TXT31" s="672"/>
      <c r="TXU31" s="672"/>
      <c r="TXV31" s="672"/>
      <c r="TXW31" s="672"/>
      <c r="TXX31" s="672"/>
      <c r="TXY31" s="672"/>
      <c r="TXZ31" s="672"/>
      <c r="TYA31" s="672"/>
      <c r="TYB31" s="672"/>
      <c r="TYC31" s="672"/>
      <c r="TYD31" s="672"/>
      <c r="TYE31" s="672"/>
      <c r="TYF31" s="672"/>
      <c r="TYG31" s="672"/>
      <c r="TYH31" s="672"/>
      <c r="TYI31" s="672"/>
      <c r="TYJ31" s="672"/>
      <c r="TYK31" s="672"/>
      <c r="TYL31" s="672"/>
      <c r="TYM31" s="672"/>
      <c r="TYN31" s="672"/>
      <c r="TYO31" s="672"/>
      <c r="TYP31" s="672"/>
      <c r="TYQ31" s="672"/>
      <c r="TYR31" s="672"/>
      <c r="TYS31" s="672"/>
      <c r="TYT31" s="672"/>
      <c r="TYU31" s="672"/>
      <c r="TYV31" s="672"/>
      <c r="TYW31" s="672"/>
      <c r="TYX31" s="672"/>
      <c r="TYY31" s="672"/>
      <c r="TYZ31" s="672"/>
      <c r="TZA31" s="672"/>
      <c r="TZB31" s="672"/>
      <c r="TZC31" s="672"/>
      <c r="TZD31" s="672"/>
      <c r="TZE31" s="672"/>
      <c r="TZF31" s="672"/>
      <c r="TZG31" s="672"/>
      <c r="TZH31" s="672"/>
      <c r="TZI31" s="672"/>
      <c r="TZJ31" s="672"/>
      <c r="TZK31" s="672"/>
      <c r="TZL31" s="672"/>
      <c r="TZM31" s="672"/>
      <c r="TZN31" s="672"/>
      <c r="TZO31" s="672"/>
      <c r="TZP31" s="672"/>
      <c r="TZQ31" s="672"/>
      <c r="TZR31" s="672"/>
      <c r="TZS31" s="672"/>
      <c r="TZT31" s="672"/>
      <c r="TZU31" s="672"/>
      <c r="TZV31" s="672"/>
      <c r="TZW31" s="672"/>
      <c r="TZX31" s="672"/>
      <c r="TZY31" s="672"/>
      <c r="TZZ31" s="672"/>
      <c r="UAA31" s="672"/>
      <c r="UAB31" s="672"/>
      <c r="UAC31" s="672"/>
      <c r="UAD31" s="672"/>
      <c r="UAE31" s="672"/>
      <c r="UAF31" s="672"/>
      <c r="UAG31" s="672"/>
      <c r="UAH31" s="672"/>
      <c r="UAI31" s="672"/>
      <c r="UAJ31" s="672"/>
      <c r="UAK31" s="672"/>
      <c r="UAL31" s="672"/>
      <c r="UAM31" s="672"/>
      <c r="UAN31" s="672"/>
      <c r="UAO31" s="672"/>
      <c r="UAP31" s="672"/>
      <c r="UAQ31" s="672"/>
      <c r="UAR31" s="672"/>
      <c r="UAS31" s="672"/>
      <c r="UAT31" s="672"/>
      <c r="UAU31" s="672"/>
      <c r="UAV31" s="672"/>
      <c r="UAW31" s="672"/>
      <c r="UAX31" s="672"/>
      <c r="UAY31" s="672"/>
      <c r="UAZ31" s="672"/>
      <c r="UBA31" s="672"/>
      <c r="UBB31" s="672"/>
      <c r="UBC31" s="672"/>
      <c r="UBD31" s="672"/>
      <c r="UBE31" s="672"/>
      <c r="UBF31" s="672"/>
      <c r="UBG31" s="672"/>
      <c r="UBH31" s="672"/>
      <c r="UBI31" s="672"/>
      <c r="UBJ31" s="672"/>
      <c r="UBK31" s="672"/>
      <c r="UBL31" s="672"/>
      <c r="UBM31" s="672"/>
      <c r="UBN31" s="672"/>
      <c r="UBO31" s="672"/>
      <c r="UBP31" s="672"/>
      <c r="UBQ31" s="672"/>
      <c r="UBR31" s="672"/>
      <c r="UBS31" s="672"/>
      <c r="UBT31" s="672"/>
      <c r="UBU31" s="672"/>
      <c r="UBV31" s="672"/>
      <c r="UBW31" s="672"/>
      <c r="UBX31" s="672"/>
      <c r="UBY31" s="672"/>
      <c r="UBZ31" s="672"/>
      <c r="UCA31" s="672"/>
      <c r="UCB31" s="672"/>
      <c r="UCC31" s="672"/>
      <c r="UCD31" s="672"/>
      <c r="UCE31" s="672"/>
      <c r="UCF31" s="672"/>
      <c r="UCG31" s="672"/>
      <c r="UCH31" s="672"/>
      <c r="UCI31" s="672"/>
      <c r="UCJ31" s="672"/>
      <c r="UCK31" s="672"/>
      <c r="UCL31" s="672"/>
      <c r="UCM31" s="672"/>
      <c r="UCN31" s="672"/>
      <c r="UCO31" s="672"/>
      <c r="UCP31" s="672"/>
      <c r="UCQ31" s="672"/>
      <c r="UCR31" s="672"/>
      <c r="UCS31" s="672"/>
      <c r="UCT31" s="672"/>
      <c r="UCU31" s="672"/>
      <c r="UCV31" s="672"/>
      <c r="UCW31" s="672"/>
      <c r="UCX31" s="672"/>
      <c r="UCY31" s="672"/>
      <c r="UCZ31" s="672"/>
      <c r="UDA31" s="672"/>
      <c r="UDB31" s="672"/>
      <c r="UDC31" s="672"/>
      <c r="UDD31" s="672"/>
      <c r="UDE31" s="672"/>
      <c r="UDF31" s="672"/>
      <c r="UDG31" s="672"/>
      <c r="UDH31" s="672"/>
      <c r="UDI31" s="672"/>
      <c r="UDJ31" s="672"/>
      <c r="UDK31" s="672"/>
      <c r="UDL31" s="672"/>
      <c r="UDM31" s="672"/>
      <c r="UDN31" s="672"/>
      <c r="UDO31" s="672"/>
      <c r="UDP31" s="672"/>
      <c r="UDQ31" s="672"/>
      <c r="UDR31" s="672"/>
      <c r="UDS31" s="672"/>
      <c r="UDT31" s="672"/>
      <c r="UDU31" s="672"/>
      <c r="UDV31" s="672"/>
      <c r="UDW31" s="672"/>
      <c r="UDX31" s="672"/>
      <c r="UDY31" s="672"/>
      <c r="UDZ31" s="672"/>
      <c r="UEA31" s="672"/>
      <c r="UEB31" s="672"/>
      <c r="UEC31" s="672"/>
      <c r="UED31" s="672"/>
      <c r="UEE31" s="672"/>
      <c r="UEF31" s="672"/>
      <c r="UEG31" s="672"/>
      <c r="UEH31" s="672"/>
      <c r="UEI31" s="672"/>
      <c r="UEJ31" s="672"/>
      <c r="UEK31" s="672"/>
      <c r="UEL31" s="672"/>
      <c r="UEM31" s="672"/>
      <c r="UEN31" s="672"/>
      <c r="UEO31" s="672"/>
      <c r="UEP31" s="672"/>
      <c r="UEQ31" s="672"/>
      <c r="UER31" s="672"/>
      <c r="UES31" s="672"/>
      <c r="UET31" s="672"/>
      <c r="UEU31" s="672"/>
      <c r="UEV31" s="672"/>
      <c r="UEW31" s="672"/>
      <c r="UEX31" s="672"/>
      <c r="UEY31" s="672"/>
      <c r="UEZ31" s="672"/>
      <c r="UFA31" s="672"/>
      <c r="UFB31" s="672"/>
      <c r="UFC31" s="672"/>
      <c r="UFD31" s="672"/>
      <c r="UFE31" s="672"/>
      <c r="UFF31" s="672"/>
      <c r="UFG31" s="672"/>
      <c r="UFH31" s="672"/>
      <c r="UFI31" s="672"/>
      <c r="UFJ31" s="672"/>
      <c r="UFK31" s="672"/>
      <c r="UFL31" s="672"/>
      <c r="UFM31" s="672"/>
      <c r="UFN31" s="672"/>
      <c r="UFO31" s="672"/>
      <c r="UFP31" s="672"/>
      <c r="UFQ31" s="672"/>
      <c r="UFR31" s="672"/>
      <c r="UFS31" s="672"/>
      <c r="UFT31" s="672"/>
      <c r="UFU31" s="672"/>
      <c r="UFV31" s="672"/>
      <c r="UFW31" s="672"/>
      <c r="UFX31" s="672"/>
      <c r="UFY31" s="672"/>
      <c r="UFZ31" s="672"/>
      <c r="UGA31" s="672"/>
      <c r="UGB31" s="672"/>
      <c r="UGC31" s="672"/>
      <c r="UGD31" s="672"/>
      <c r="UGE31" s="672"/>
      <c r="UGF31" s="672"/>
      <c r="UGG31" s="672"/>
      <c r="UGH31" s="672"/>
      <c r="UGI31" s="672"/>
      <c r="UGJ31" s="672"/>
      <c r="UGK31" s="672"/>
      <c r="UGL31" s="672"/>
      <c r="UGM31" s="672"/>
      <c r="UGN31" s="672"/>
      <c r="UGO31" s="672"/>
      <c r="UGP31" s="672"/>
      <c r="UGQ31" s="672"/>
      <c r="UGR31" s="672"/>
      <c r="UGS31" s="672"/>
      <c r="UGT31" s="672"/>
      <c r="UGU31" s="672"/>
      <c r="UGV31" s="672"/>
      <c r="UGW31" s="672"/>
      <c r="UGX31" s="672"/>
      <c r="UGY31" s="672"/>
      <c r="UGZ31" s="672"/>
      <c r="UHA31" s="672"/>
      <c r="UHB31" s="672"/>
      <c r="UHC31" s="672"/>
      <c r="UHD31" s="672"/>
      <c r="UHE31" s="672"/>
      <c r="UHF31" s="672"/>
      <c r="UHG31" s="672"/>
      <c r="UHH31" s="672"/>
      <c r="UHI31" s="672"/>
      <c r="UHJ31" s="672"/>
      <c r="UHK31" s="672"/>
      <c r="UHL31" s="672"/>
      <c r="UHM31" s="672"/>
      <c r="UHN31" s="672"/>
      <c r="UHO31" s="672"/>
      <c r="UHP31" s="672"/>
      <c r="UHQ31" s="672"/>
      <c r="UHR31" s="672"/>
      <c r="UHS31" s="672"/>
      <c r="UHT31" s="672"/>
      <c r="UHU31" s="672"/>
      <c r="UHV31" s="672"/>
      <c r="UHW31" s="672"/>
      <c r="UHX31" s="672"/>
      <c r="UHY31" s="672"/>
      <c r="UHZ31" s="672"/>
      <c r="UIA31" s="672"/>
      <c r="UIB31" s="672"/>
      <c r="UIC31" s="672"/>
      <c r="UID31" s="672"/>
      <c r="UIE31" s="672"/>
      <c r="UIF31" s="672"/>
      <c r="UIG31" s="672"/>
      <c r="UIH31" s="672"/>
      <c r="UII31" s="672"/>
      <c r="UIJ31" s="672"/>
      <c r="UIK31" s="672"/>
      <c r="UIL31" s="672"/>
      <c r="UIM31" s="672"/>
      <c r="UIN31" s="672"/>
      <c r="UIO31" s="672"/>
      <c r="UIP31" s="672"/>
      <c r="UIQ31" s="672"/>
      <c r="UIR31" s="672"/>
      <c r="UIS31" s="672"/>
      <c r="UIT31" s="672"/>
      <c r="UIU31" s="672"/>
      <c r="UIV31" s="672"/>
      <c r="UIW31" s="672"/>
      <c r="UIX31" s="672"/>
      <c r="UIY31" s="672"/>
      <c r="UIZ31" s="672"/>
      <c r="UJA31" s="672"/>
      <c r="UJB31" s="672"/>
      <c r="UJC31" s="672"/>
      <c r="UJD31" s="672"/>
      <c r="UJE31" s="672"/>
      <c r="UJF31" s="672"/>
      <c r="UJG31" s="672"/>
      <c r="UJH31" s="672"/>
      <c r="UJI31" s="672"/>
      <c r="UJJ31" s="672"/>
      <c r="UJK31" s="672"/>
      <c r="UJL31" s="672"/>
      <c r="UJM31" s="672"/>
      <c r="UJN31" s="672"/>
      <c r="UJO31" s="672"/>
      <c r="UJP31" s="672"/>
      <c r="UJQ31" s="672"/>
      <c r="UJR31" s="672"/>
      <c r="UJS31" s="672"/>
      <c r="UJT31" s="672"/>
      <c r="UJU31" s="672"/>
      <c r="UJV31" s="672"/>
      <c r="UJW31" s="672"/>
      <c r="UJX31" s="672"/>
      <c r="UJY31" s="672"/>
      <c r="UJZ31" s="672"/>
      <c r="UKA31" s="672"/>
      <c r="UKB31" s="672"/>
      <c r="UKC31" s="672"/>
      <c r="UKD31" s="672"/>
      <c r="UKE31" s="672"/>
      <c r="UKF31" s="672"/>
      <c r="UKG31" s="672"/>
      <c r="UKH31" s="672"/>
      <c r="UKI31" s="672"/>
      <c r="UKJ31" s="672"/>
      <c r="UKK31" s="672"/>
      <c r="UKL31" s="672"/>
      <c r="UKM31" s="672"/>
      <c r="UKN31" s="672"/>
      <c r="UKO31" s="672"/>
      <c r="UKP31" s="672"/>
      <c r="UKQ31" s="672"/>
      <c r="UKR31" s="672"/>
      <c r="UKS31" s="672"/>
      <c r="UKT31" s="672"/>
      <c r="UKU31" s="672"/>
      <c r="UKV31" s="672"/>
      <c r="UKW31" s="672"/>
      <c r="UKX31" s="672"/>
      <c r="UKY31" s="672"/>
      <c r="UKZ31" s="672"/>
      <c r="ULA31" s="672"/>
      <c r="ULB31" s="672"/>
      <c r="ULC31" s="672"/>
      <c r="ULD31" s="672"/>
      <c r="ULE31" s="672"/>
      <c r="ULF31" s="672"/>
      <c r="ULG31" s="672"/>
      <c r="ULH31" s="672"/>
      <c r="ULI31" s="672"/>
      <c r="ULJ31" s="672"/>
      <c r="ULK31" s="672"/>
      <c r="ULL31" s="672"/>
      <c r="ULM31" s="672"/>
      <c r="ULN31" s="672"/>
      <c r="ULO31" s="672"/>
      <c r="ULP31" s="672"/>
      <c r="ULQ31" s="672"/>
      <c r="ULR31" s="672"/>
      <c r="ULS31" s="672"/>
      <c r="ULT31" s="672"/>
      <c r="ULU31" s="672"/>
      <c r="ULV31" s="672"/>
      <c r="ULW31" s="672"/>
      <c r="ULX31" s="672"/>
      <c r="ULY31" s="672"/>
      <c r="ULZ31" s="672"/>
      <c r="UMA31" s="672"/>
      <c r="UMB31" s="672"/>
      <c r="UMC31" s="672"/>
      <c r="UMD31" s="672"/>
      <c r="UME31" s="672"/>
      <c r="UMF31" s="672"/>
      <c r="UMG31" s="672"/>
      <c r="UMH31" s="672"/>
      <c r="UMI31" s="672"/>
      <c r="UMJ31" s="672"/>
      <c r="UMK31" s="672"/>
      <c r="UML31" s="672"/>
      <c r="UMM31" s="672"/>
      <c r="UMN31" s="672"/>
      <c r="UMO31" s="672"/>
      <c r="UMP31" s="672"/>
      <c r="UMQ31" s="672"/>
      <c r="UMR31" s="672"/>
      <c r="UMS31" s="672"/>
      <c r="UMT31" s="672"/>
      <c r="UMU31" s="672"/>
      <c r="UMV31" s="672"/>
      <c r="UMW31" s="672"/>
      <c r="UMX31" s="672"/>
      <c r="UMY31" s="672"/>
      <c r="UMZ31" s="672"/>
      <c r="UNA31" s="672"/>
      <c r="UNB31" s="672"/>
      <c r="UNC31" s="672"/>
      <c r="UND31" s="672"/>
      <c r="UNE31" s="672"/>
      <c r="UNF31" s="672"/>
      <c r="UNG31" s="672"/>
      <c r="UNH31" s="672"/>
      <c r="UNI31" s="672"/>
      <c r="UNJ31" s="672"/>
      <c r="UNK31" s="672"/>
      <c r="UNL31" s="672"/>
      <c r="UNM31" s="672"/>
      <c r="UNN31" s="672"/>
      <c r="UNO31" s="672"/>
      <c r="UNP31" s="672"/>
      <c r="UNQ31" s="672"/>
      <c r="UNR31" s="672"/>
      <c r="UNS31" s="672"/>
      <c r="UNT31" s="672"/>
      <c r="UNU31" s="672"/>
      <c r="UNV31" s="672"/>
      <c r="UNW31" s="672"/>
      <c r="UNX31" s="672"/>
      <c r="UNY31" s="672"/>
      <c r="UNZ31" s="672"/>
      <c r="UOA31" s="672"/>
      <c r="UOB31" s="672"/>
      <c r="UOC31" s="672"/>
      <c r="UOD31" s="672"/>
      <c r="UOE31" s="672"/>
      <c r="UOF31" s="672"/>
      <c r="UOG31" s="672"/>
      <c r="UOH31" s="672"/>
      <c r="UOI31" s="672"/>
      <c r="UOJ31" s="672"/>
      <c r="UOK31" s="672"/>
      <c r="UOL31" s="672"/>
      <c r="UOM31" s="672"/>
      <c r="UON31" s="672"/>
      <c r="UOO31" s="672"/>
      <c r="UOP31" s="672"/>
      <c r="UOQ31" s="672"/>
      <c r="UOR31" s="672"/>
      <c r="UOS31" s="672"/>
      <c r="UOT31" s="672"/>
      <c r="UOU31" s="672"/>
      <c r="UOV31" s="672"/>
      <c r="UOW31" s="672"/>
      <c r="UOX31" s="672"/>
      <c r="UOY31" s="672"/>
      <c r="UOZ31" s="672"/>
      <c r="UPA31" s="672"/>
      <c r="UPB31" s="672"/>
      <c r="UPC31" s="672"/>
      <c r="UPD31" s="672"/>
      <c r="UPE31" s="672"/>
      <c r="UPF31" s="672"/>
      <c r="UPG31" s="672"/>
      <c r="UPH31" s="672"/>
      <c r="UPI31" s="672"/>
      <c r="UPJ31" s="672"/>
      <c r="UPK31" s="672"/>
      <c r="UPL31" s="672"/>
      <c r="UPM31" s="672"/>
      <c r="UPN31" s="672"/>
      <c r="UPO31" s="672"/>
      <c r="UPP31" s="672"/>
      <c r="UPQ31" s="672"/>
      <c r="UPR31" s="672"/>
      <c r="UPS31" s="672"/>
      <c r="UPT31" s="672"/>
      <c r="UPU31" s="672"/>
      <c r="UPV31" s="672"/>
      <c r="UPW31" s="672"/>
      <c r="UPX31" s="672"/>
      <c r="UPY31" s="672"/>
      <c r="UPZ31" s="672"/>
      <c r="UQA31" s="672"/>
      <c r="UQB31" s="672"/>
      <c r="UQC31" s="672"/>
      <c r="UQD31" s="672"/>
      <c r="UQE31" s="672"/>
      <c r="UQF31" s="672"/>
      <c r="UQG31" s="672"/>
      <c r="UQH31" s="672"/>
      <c r="UQI31" s="672"/>
      <c r="UQJ31" s="672"/>
      <c r="UQK31" s="672"/>
      <c r="UQL31" s="672"/>
      <c r="UQM31" s="672"/>
      <c r="UQN31" s="672"/>
      <c r="UQO31" s="672"/>
      <c r="UQP31" s="672"/>
      <c r="UQQ31" s="672"/>
      <c r="UQR31" s="672"/>
      <c r="UQS31" s="672"/>
      <c r="UQT31" s="672"/>
      <c r="UQU31" s="672"/>
      <c r="UQV31" s="672"/>
      <c r="UQW31" s="672"/>
      <c r="UQX31" s="672"/>
      <c r="UQY31" s="672"/>
      <c r="UQZ31" s="672"/>
      <c r="URA31" s="672"/>
      <c r="URB31" s="672"/>
      <c r="URC31" s="672"/>
      <c r="URD31" s="672"/>
      <c r="URE31" s="672"/>
      <c r="URF31" s="672"/>
      <c r="URG31" s="672"/>
      <c r="URH31" s="672"/>
      <c r="URI31" s="672"/>
      <c r="URJ31" s="672"/>
      <c r="URK31" s="672"/>
      <c r="URL31" s="672"/>
      <c r="URM31" s="672"/>
      <c r="URN31" s="672"/>
      <c r="URO31" s="672"/>
      <c r="URP31" s="672"/>
      <c r="URQ31" s="672"/>
      <c r="URR31" s="672"/>
      <c r="URS31" s="672"/>
      <c r="URT31" s="672"/>
      <c r="URU31" s="672"/>
      <c r="URV31" s="672"/>
      <c r="URW31" s="672"/>
      <c r="URX31" s="672"/>
      <c r="URY31" s="672"/>
      <c r="URZ31" s="672"/>
      <c r="USA31" s="672"/>
      <c r="USB31" s="672"/>
      <c r="USC31" s="672"/>
      <c r="USD31" s="672"/>
      <c r="USE31" s="672"/>
      <c r="USF31" s="672"/>
      <c r="USG31" s="672"/>
      <c r="USH31" s="672"/>
      <c r="USI31" s="672"/>
      <c r="USJ31" s="672"/>
      <c r="USK31" s="672"/>
      <c r="USL31" s="672"/>
      <c r="USM31" s="672"/>
      <c r="USN31" s="672"/>
      <c r="USO31" s="672"/>
      <c r="USP31" s="672"/>
      <c r="USQ31" s="672"/>
      <c r="USR31" s="672"/>
      <c r="USS31" s="672"/>
      <c r="UST31" s="672"/>
      <c r="USU31" s="672"/>
      <c r="USV31" s="672"/>
      <c r="USW31" s="672"/>
      <c r="USX31" s="672"/>
      <c r="USY31" s="672"/>
      <c r="USZ31" s="672"/>
      <c r="UTA31" s="672"/>
      <c r="UTB31" s="672"/>
      <c r="UTC31" s="672"/>
      <c r="UTD31" s="672"/>
      <c r="UTE31" s="672"/>
      <c r="UTF31" s="672"/>
      <c r="UTG31" s="672"/>
      <c r="UTH31" s="672"/>
      <c r="UTI31" s="672"/>
      <c r="UTJ31" s="672"/>
      <c r="UTK31" s="672"/>
      <c r="UTL31" s="672"/>
      <c r="UTM31" s="672"/>
      <c r="UTN31" s="672"/>
      <c r="UTO31" s="672"/>
      <c r="UTP31" s="672"/>
      <c r="UTQ31" s="672"/>
      <c r="UTR31" s="672"/>
      <c r="UTS31" s="672"/>
      <c r="UTT31" s="672"/>
      <c r="UTU31" s="672"/>
      <c r="UTV31" s="672"/>
      <c r="UTW31" s="672"/>
      <c r="UTX31" s="672"/>
      <c r="UTY31" s="672"/>
      <c r="UTZ31" s="672"/>
      <c r="UUA31" s="672"/>
      <c r="UUB31" s="672"/>
      <c r="UUC31" s="672"/>
      <c r="UUD31" s="672"/>
      <c r="UUE31" s="672"/>
      <c r="UUF31" s="672"/>
      <c r="UUG31" s="672"/>
      <c r="UUH31" s="672"/>
      <c r="UUI31" s="672"/>
      <c r="UUJ31" s="672"/>
      <c r="UUK31" s="672"/>
      <c r="UUL31" s="672"/>
      <c r="UUM31" s="672"/>
      <c r="UUN31" s="672"/>
      <c r="UUO31" s="672"/>
      <c r="UUP31" s="672"/>
      <c r="UUQ31" s="672"/>
      <c r="UUR31" s="672"/>
      <c r="UUS31" s="672"/>
      <c r="UUT31" s="672"/>
      <c r="UUU31" s="672"/>
      <c r="UUV31" s="672"/>
      <c r="UUW31" s="672"/>
      <c r="UUX31" s="672"/>
      <c r="UUY31" s="672"/>
      <c r="UUZ31" s="672"/>
      <c r="UVA31" s="672"/>
      <c r="UVB31" s="672"/>
      <c r="UVC31" s="672"/>
      <c r="UVD31" s="672"/>
      <c r="UVE31" s="672"/>
      <c r="UVF31" s="672"/>
      <c r="UVG31" s="672"/>
      <c r="UVH31" s="672"/>
      <c r="UVI31" s="672"/>
      <c r="UVJ31" s="672"/>
      <c r="UVK31" s="672"/>
      <c r="UVL31" s="672"/>
      <c r="UVM31" s="672"/>
      <c r="UVN31" s="672"/>
      <c r="UVO31" s="672"/>
      <c r="UVP31" s="672"/>
      <c r="UVQ31" s="672"/>
      <c r="UVR31" s="672"/>
      <c r="UVS31" s="672"/>
      <c r="UVT31" s="672"/>
      <c r="UVU31" s="672"/>
      <c r="UVV31" s="672"/>
      <c r="UVW31" s="672"/>
      <c r="UVX31" s="672"/>
      <c r="UVY31" s="672"/>
      <c r="UVZ31" s="672"/>
      <c r="UWA31" s="672"/>
      <c r="UWB31" s="672"/>
      <c r="UWC31" s="672"/>
      <c r="UWD31" s="672"/>
      <c r="UWE31" s="672"/>
      <c r="UWF31" s="672"/>
      <c r="UWG31" s="672"/>
      <c r="UWH31" s="672"/>
      <c r="UWI31" s="672"/>
      <c r="UWJ31" s="672"/>
      <c r="UWK31" s="672"/>
      <c r="UWL31" s="672"/>
      <c r="UWM31" s="672"/>
      <c r="UWN31" s="672"/>
      <c r="UWO31" s="672"/>
      <c r="UWP31" s="672"/>
      <c r="UWQ31" s="672"/>
      <c r="UWR31" s="672"/>
      <c r="UWS31" s="672"/>
      <c r="UWT31" s="672"/>
      <c r="UWU31" s="672"/>
      <c r="UWV31" s="672"/>
      <c r="UWW31" s="672"/>
      <c r="UWX31" s="672"/>
      <c r="UWY31" s="672"/>
      <c r="UWZ31" s="672"/>
      <c r="UXA31" s="672"/>
      <c r="UXB31" s="672"/>
      <c r="UXC31" s="672"/>
      <c r="UXD31" s="672"/>
      <c r="UXE31" s="672"/>
      <c r="UXF31" s="672"/>
      <c r="UXG31" s="672"/>
      <c r="UXH31" s="672"/>
      <c r="UXI31" s="672"/>
      <c r="UXJ31" s="672"/>
      <c r="UXK31" s="672"/>
      <c r="UXL31" s="672"/>
      <c r="UXM31" s="672"/>
      <c r="UXN31" s="672"/>
      <c r="UXO31" s="672"/>
      <c r="UXP31" s="672"/>
      <c r="UXQ31" s="672"/>
      <c r="UXR31" s="672"/>
      <c r="UXS31" s="672"/>
      <c r="UXT31" s="672"/>
      <c r="UXU31" s="672"/>
      <c r="UXV31" s="672"/>
      <c r="UXW31" s="672"/>
      <c r="UXX31" s="672"/>
      <c r="UXY31" s="672"/>
      <c r="UXZ31" s="672"/>
      <c r="UYA31" s="672"/>
      <c r="UYB31" s="672"/>
      <c r="UYC31" s="672"/>
      <c r="UYD31" s="672"/>
      <c r="UYE31" s="672"/>
      <c r="UYF31" s="672"/>
      <c r="UYG31" s="672"/>
      <c r="UYH31" s="672"/>
      <c r="UYI31" s="672"/>
      <c r="UYJ31" s="672"/>
      <c r="UYK31" s="672"/>
      <c r="UYL31" s="672"/>
      <c r="UYM31" s="672"/>
      <c r="UYN31" s="672"/>
      <c r="UYO31" s="672"/>
      <c r="UYP31" s="672"/>
      <c r="UYQ31" s="672"/>
      <c r="UYR31" s="672"/>
      <c r="UYS31" s="672"/>
      <c r="UYT31" s="672"/>
      <c r="UYU31" s="672"/>
      <c r="UYV31" s="672"/>
      <c r="UYW31" s="672"/>
      <c r="UYX31" s="672"/>
      <c r="UYY31" s="672"/>
      <c r="UYZ31" s="672"/>
      <c r="UZA31" s="672"/>
      <c r="UZB31" s="672"/>
      <c r="UZC31" s="672"/>
      <c r="UZD31" s="672"/>
      <c r="UZE31" s="672"/>
      <c r="UZF31" s="672"/>
      <c r="UZG31" s="672"/>
      <c r="UZH31" s="672"/>
      <c r="UZI31" s="672"/>
      <c r="UZJ31" s="672"/>
      <c r="UZK31" s="672"/>
      <c r="UZL31" s="672"/>
      <c r="UZM31" s="672"/>
      <c r="UZN31" s="672"/>
      <c r="UZO31" s="672"/>
      <c r="UZP31" s="672"/>
      <c r="UZQ31" s="672"/>
      <c r="UZR31" s="672"/>
      <c r="UZS31" s="672"/>
      <c r="UZT31" s="672"/>
      <c r="UZU31" s="672"/>
      <c r="UZV31" s="672"/>
      <c r="UZW31" s="672"/>
      <c r="UZX31" s="672"/>
      <c r="UZY31" s="672"/>
      <c r="UZZ31" s="672"/>
      <c r="VAA31" s="672"/>
      <c r="VAB31" s="672"/>
      <c r="VAC31" s="672"/>
      <c r="VAD31" s="672"/>
      <c r="VAE31" s="672"/>
      <c r="VAF31" s="672"/>
      <c r="VAG31" s="672"/>
      <c r="VAH31" s="672"/>
      <c r="VAI31" s="672"/>
      <c r="VAJ31" s="672"/>
      <c r="VAK31" s="672"/>
      <c r="VAL31" s="672"/>
      <c r="VAM31" s="672"/>
      <c r="VAN31" s="672"/>
      <c r="VAO31" s="672"/>
      <c r="VAP31" s="672"/>
      <c r="VAQ31" s="672"/>
      <c r="VAR31" s="672"/>
      <c r="VAS31" s="672"/>
      <c r="VAT31" s="672"/>
      <c r="VAU31" s="672"/>
      <c r="VAV31" s="672"/>
      <c r="VAW31" s="672"/>
      <c r="VAX31" s="672"/>
      <c r="VAY31" s="672"/>
      <c r="VAZ31" s="672"/>
      <c r="VBA31" s="672"/>
      <c r="VBB31" s="672"/>
      <c r="VBC31" s="672"/>
      <c r="VBD31" s="672"/>
      <c r="VBE31" s="672"/>
      <c r="VBF31" s="672"/>
      <c r="VBG31" s="672"/>
      <c r="VBH31" s="672"/>
      <c r="VBI31" s="672"/>
      <c r="VBJ31" s="672"/>
      <c r="VBK31" s="672"/>
      <c r="VBL31" s="672"/>
      <c r="VBM31" s="672"/>
      <c r="VBN31" s="672"/>
      <c r="VBO31" s="672"/>
      <c r="VBP31" s="672"/>
      <c r="VBQ31" s="672"/>
      <c r="VBR31" s="672"/>
      <c r="VBS31" s="672"/>
      <c r="VBT31" s="672"/>
      <c r="VBU31" s="672"/>
      <c r="VBV31" s="672"/>
      <c r="VBW31" s="672"/>
      <c r="VBX31" s="672"/>
      <c r="VBY31" s="672"/>
      <c r="VBZ31" s="672"/>
      <c r="VCA31" s="672"/>
      <c r="VCB31" s="672"/>
      <c r="VCC31" s="672"/>
      <c r="VCD31" s="672"/>
      <c r="VCE31" s="672"/>
      <c r="VCF31" s="672"/>
      <c r="VCG31" s="672"/>
      <c r="VCH31" s="672"/>
      <c r="VCI31" s="672"/>
      <c r="VCJ31" s="672"/>
      <c r="VCK31" s="672"/>
      <c r="VCL31" s="672"/>
      <c r="VCM31" s="672"/>
      <c r="VCN31" s="672"/>
      <c r="VCO31" s="672"/>
      <c r="VCP31" s="672"/>
      <c r="VCQ31" s="672"/>
      <c r="VCR31" s="672"/>
      <c r="VCS31" s="672"/>
      <c r="VCT31" s="672"/>
      <c r="VCU31" s="672"/>
      <c r="VCV31" s="672"/>
      <c r="VCW31" s="672"/>
      <c r="VCX31" s="672"/>
      <c r="VCY31" s="672"/>
      <c r="VCZ31" s="672"/>
      <c r="VDA31" s="672"/>
      <c r="VDB31" s="672"/>
      <c r="VDC31" s="672"/>
      <c r="VDD31" s="672"/>
      <c r="VDE31" s="672"/>
      <c r="VDF31" s="672"/>
      <c r="VDG31" s="672"/>
      <c r="VDH31" s="672"/>
      <c r="VDI31" s="672"/>
      <c r="VDJ31" s="672"/>
      <c r="VDK31" s="672"/>
      <c r="VDL31" s="672"/>
      <c r="VDM31" s="672"/>
      <c r="VDN31" s="672"/>
      <c r="VDO31" s="672"/>
      <c r="VDP31" s="672"/>
      <c r="VDQ31" s="672"/>
      <c r="VDR31" s="672"/>
      <c r="VDS31" s="672"/>
      <c r="VDT31" s="672"/>
      <c r="VDU31" s="672"/>
      <c r="VDV31" s="672"/>
      <c r="VDW31" s="672"/>
      <c r="VDX31" s="672"/>
      <c r="VDY31" s="672"/>
      <c r="VDZ31" s="672"/>
      <c r="VEA31" s="672"/>
      <c r="VEB31" s="672"/>
      <c r="VEC31" s="672"/>
      <c r="VED31" s="672"/>
      <c r="VEE31" s="672"/>
      <c r="VEF31" s="672"/>
      <c r="VEG31" s="672"/>
      <c r="VEH31" s="672"/>
      <c r="VEI31" s="672"/>
      <c r="VEJ31" s="672"/>
      <c r="VEK31" s="672"/>
      <c r="VEL31" s="672"/>
      <c r="VEM31" s="672"/>
      <c r="VEN31" s="672"/>
      <c r="VEO31" s="672"/>
      <c r="VEP31" s="672"/>
      <c r="VEQ31" s="672"/>
      <c r="VER31" s="672"/>
      <c r="VES31" s="672"/>
      <c r="VET31" s="672"/>
      <c r="VEU31" s="672"/>
      <c r="VEV31" s="672"/>
      <c r="VEW31" s="672"/>
      <c r="VEX31" s="672"/>
      <c r="VEY31" s="672"/>
      <c r="VEZ31" s="672"/>
      <c r="VFA31" s="672"/>
      <c r="VFB31" s="672"/>
      <c r="VFC31" s="672"/>
      <c r="VFD31" s="672"/>
      <c r="VFE31" s="672"/>
      <c r="VFF31" s="672"/>
      <c r="VFG31" s="672"/>
      <c r="VFH31" s="672"/>
      <c r="VFI31" s="672"/>
      <c r="VFJ31" s="672"/>
      <c r="VFK31" s="672"/>
      <c r="VFL31" s="672"/>
      <c r="VFM31" s="672"/>
      <c r="VFN31" s="672"/>
      <c r="VFO31" s="672"/>
      <c r="VFP31" s="672"/>
      <c r="VFQ31" s="672"/>
      <c r="VFR31" s="672"/>
      <c r="VFS31" s="672"/>
      <c r="VFT31" s="672"/>
      <c r="VFU31" s="672"/>
      <c r="VFV31" s="672"/>
      <c r="VFW31" s="672"/>
      <c r="VFX31" s="672"/>
      <c r="VFY31" s="672"/>
      <c r="VFZ31" s="672"/>
      <c r="VGA31" s="672"/>
      <c r="VGB31" s="672"/>
      <c r="VGC31" s="672"/>
      <c r="VGD31" s="672"/>
      <c r="VGE31" s="672"/>
      <c r="VGF31" s="672"/>
      <c r="VGG31" s="672"/>
      <c r="VGH31" s="672"/>
      <c r="VGI31" s="672"/>
      <c r="VGJ31" s="672"/>
      <c r="VGK31" s="672"/>
      <c r="VGL31" s="672"/>
      <c r="VGM31" s="672"/>
      <c r="VGN31" s="672"/>
      <c r="VGO31" s="672"/>
      <c r="VGP31" s="672"/>
      <c r="VGQ31" s="672"/>
      <c r="VGR31" s="672"/>
      <c r="VGS31" s="672"/>
      <c r="VGT31" s="672"/>
      <c r="VGU31" s="672"/>
      <c r="VGV31" s="672"/>
      <c r="VGW31" s="672"/>
      <c r="VGX31" s="672"/>
      <c r="VGY31" s="672"/>
      <c r="VGZ31" s="672"/>
      <c r="VHA31" s="672"/>
      <c r="VHB31" s="672"/>
      <c r="VHC31" s="672"/>
      <c r="VHD31" s="672"/>
      <c r="VHE31" s="672"/>
      <c r="VHF31" s="672"/>
      <c r="VHG31" s="672"/>
      <c r="VHH31" s="672"/>
      <c r="VHI31" s="672"/>
      <c r="VHJ31" s="672"/>
      <c r="VHK31" s="672"/>
      <c r="VHL31" s="672"/>
      <c r="VHM31" s="672"/>
      <c r="VHN31" s="672"/>
      <c r="VHO31" s="672"/>
      <c r="VHP31" s="672"/>
      <c r="VHQ31" s="672"/>
      <c r="VHR31" s="672"/>
      <c r="VHS31" s="672"/>
      <c r="VHT31" s="672"/>
      <c r="VHU31" s="672"/>
      <c r="VHV31" s="672"/>
      <c r="VHW31" s="672"/>
      <c r="VHX31" s="672"/>
      <c r="VHY31" s="672"/>
      <c r="VHZ31" s="672"/>
      <c r="VIA31" s="672"/>
      <c r="VIB31" s="672"/>
      <c r="VIC31" s="672"/>
      <c r="VID31" s="672"/>
      <c r="VIE31" s="672"/>
      <c r="VIF31" s="672"/>
      <c r="VIG31" s="672"/>
      <c r="VIH31" s="672"/>
      <c r="VII31" s="672"/>
      <c r="VIJ31" s="672"/>
      <c r="VIK31" s="672"/>
      <c r="VIL31" s="672"/>
      <c r="VIM31" s="672"/>
      <c r="VIN31" s="672"/>
      <c r="VIO31" s="672"/>
      <c r="VIP31" s="672"/>
      <c r="VIQ31" s="672"/>
      <c r="VIR31" s="672"/>
      <c r="VIS31" s="672"/>
      <c r="VIT31" s="672"/>
      <c r="VIU31" s="672"/>
      <c r="VIV31" s="672"/>
      <c r="VIW31" s="672"/>
      <c r="VIX31" s="672"/>
      <c r="VIY31" s="672"/>
      <c r="VIZ31" s="672"/>
      <c r="VJA31" s="672"/>
      <c r="VJB31" s="672"/>
      <c r="VJC31" s="672"/>
      <c r="VJD31" s="672"/>
      <c r="VJE31" s="672"/>
      <c r="VJF31" s="672"/>
      <c r="VJG31" s="672"/>
      <c r="VJH31" s="672"/>
      <c r="VJI31" s="672"/>
      <c r="VJJ31" s="672"/>
      <c r="VJK31" s="672"/>
      <c r="VJL31" s="672"/>
      <c r="VJM31" s="672"/>
      <c r="VJN31" s="672"/>
      <c r="VJO31" s="672"/>
      <c r="VJP31" s="672"/>
      <c r="VJQ31" s="672"/>
      <c r="VJR31" s="672"/>
      <c r="VJS31" s="672"/>
      <c r="VJT31" s="672"/>
      <c r="VJU31" s="672"/>
      <c r="VJV31" s="672"/>
      <c r="VJW31" s="672"/>
      <c r="VJX31" s="672"/>
      <c r="VJY31" s="672"/>
      <c r="VJZ31" s="672"/>
      <c r="VKA31" s="672"/>
      <c r="VKB31" s="672"/>
      <c r="VKC31" s="672"/>
      <c r="VKD31" s="672"/>
      <c r="VKE31" s="672"/>
      <c r="VKF31" s="672"/>
      <c r="VKG31" s="672"/>
      <c r="VKH31" s="672"/>
      <c r="VKI31" s="672"/>
      <c r="VKJ31" s="672"/>
      <c r="VKK31" s="672"/>
      <c r="VKL31" s="672"/>
      <c r="VKM31" s="672"/>
      <c r="VKN31" s="672"/>
      <c r="VKO31" s="672"/>
      <c r="VKP31" s="672"/>
      <c r="VKQ31" s="672"/>
      <c r="VKR31" s="672"/>
      <c r="VKS31" s="672"/>
      <c r="VKT31" s="672"/>
      <c r="VKU31" s="672"/>
      <c r="VKV31" s="672"/>
      <c r="VKW31" s="672"/>
      <c r="VKX31" s="672"/>
      <c r="VKY31" s="672"/>
      <c r="VKZ31" s="672"/>
      <c r="VLA31" s="672"/>
      <c r="VLB31" s="672"/>
      <c r="VLC31" s="672"/>
      <c r="VLD31" s="672"/>
      <c r="VLE31" s="672"/>
      <c r="VLF31" s="672"/>
      <c r="VLG31" s="672"/>
      <c r="VLH31" s="672"/>
      <c r="VLI31" s="672"/>
      <c r="VLJ31" s="672"/>
      <c r="VLK31" s="672"/>
      <c r="VLL31" s="672"/>
      <c r="VLM31" s="672"/>
      <c r="VLN31" s="672"/>
      <c r="VLO31" s="672"/>
      <c r="VLP31" s="672"/>
      <c r="VLQ31" s="672"/>
      <c r="VLR31" s="672"/>
      <c r="VLS31" s="672"/>
      <c r="VLT31" s="672"/>
      <c r="VLU31" s="672"/>
      <c r="VLV31" s="672"/>
      <c r="VLW31" s="672"/>
      <c r="VLX31" s="672"/>
      <c r="VLY31" s="672"/>
      <c r="VLZ31" s="672"/>
      <c r="VMA31" s="672"/>
      <c r="VMB31" s="672"/>
      <c r="VMC31" s="672"/>
      <c r="VMD31" s="672"/>
      <c r="VME31" s="672"/>
      <c r="VMF31" s="672"/>
      <c r="VMG31" s="672"/>
      <c r="VMH31" s="672"/>
      <c r="VMI31" s="672"/>
      <c r="VMJ31" s="672"/>
      <c r="VMK31" s="672"/>
      <c r="VML31" s="672"/>
      <c r="VMM31" s="672"/>
      <c r="VMN31" s="672"/>
      <c r="VMO31" s="672"/>
      <c r="VMP31" s="672"/>
      <c r="VMQ31" s="672"/>
      <c r="VMR31" s="672"/>
      <c r="VMS31" s="672"/>
      <c r="VMT31" s="672"/>
      <c r="VMU31" s="672"/>
      <c r="VMV31" s="672"/>
      <c r="VMW31" s="672"/>
      <c r="VMX31" s="672"/>
      <c r="VMY31" s="672"/>
      <c r="VMZ31" s="672"/>
      <c r="VNA31" s="672"/>
      <c r="VNB31" s="672"/>
      <c r="VNC31" s="672"/>
      <c r="VND31" s="672"/>
      <c r="VNE31" s="672"/>
      <c r="VNF31" s="672"/>
      <c r="VNG31" s="672"/>
      <c r="VNH31" s="672"/>
      <c r="VNI31" s="672"/>
      <c r="VNJ31" s="672"/>
      <c r="VNK31" s="672"/>
      <c r="VNL31" s="672"/>
      <c r="VNM31" s="672"/>
      <c r="VNN31" s="672"/>
      <c r="VNO31" s="672"/>
      <c r="VNP31" s="672"/>
      <c r="VNQ31" s="672"/>
      <c r="VNR31" s="672"/>
      <c r="VNS31" s="672"/>
      <c r="VNT31" s="672"/>
      <c r="VNU31" s="672"/>
      <c r="VNV31" s="672"/>
      <c r="VNW31" s="672"/>
      <c r="VNX31" s="672"/>
      <c r="VNY31" s="672"/>
      <c r="VNZ31" s="672"/>
      <c r="VOA31" s="672"/>
      <c r="VOB31" s="672"/>
      <c r="VOC31" s="672"/>
      <c r="VOD31" s="672"/>
      <c r="VOE31" s="672"/>
      <c r="VOF31" s="672"/>
      <c r="VOG31" s="672"/>
      <c r="VOH31" s="672"/>
      <c r="VOI31" s="672"/>
      <c r="VOJ31" s="672"/>
      <c r="VOK31" s="672"/>
      <c r="VOL31" s="672"/>
      <c r="VOM31" s="672"/>
      <c r="VON31" s="672"/>
      <c r="VOO31" s="672"/>
      <c r="VOP31" s="672"/>
      <c r="VOQ31" s="672"/>
      <c r="VOR31" s="672"/>
      <c r="VOS31" s="672"/>
      <c r="VOT31" s="672"/>
      <c r="VOU31" s="672"/>
      <c r="VOV31" s="672"/>
      <c r="VOW31" s="672"/>
      <c r="VOX31" s="672"/>
      <c r="VOY31" s="672"/>
      <c r="VOZ31" s="672"/>
      <c r="VPA31" s="672"/>
      <c r="VPB31" s="672"/>
      <c r="VPC31" s="672"/>
      <c r="VPD31" s="672"/>
      <c r="VPE31" s="672"/>
      <c r="VPF31" s="672"/>
      <c r="VPG31" s="672"/>
      <c r="VPH31" s="672"/>
      <c r="VPI31" s="672"/>
      <c r="VPJ31" s="672"/>
      <c r="VPK31" s="672"/>
      <c r="VPL31" s="672"/>
      <c r="VPM31" s="672"/>
      <c r="VPN31" s="672"/>
      <c r="VPO31" s="672"/>
      <c r="VPP31" s="672"/>
      <c r="VPQ31" s="672"/>
      <c r="VPR31" s="672"/>
      <c r="VPS31" s="672"/>
      <c r="VPT31" s="672"/>
      <c r="VPU31" s="672"/>
      <c r="VPV31" s="672"/>
      <c r="VPW31" s="672"/>
      <c r="VPX31" s="672"/>
      <c r="VPY31" s="672"/>
      <c r="VPZ31" s="672"/>
      <c r="VQA31" s="672"/>
      <c r="VQB31" s="672"/>
      <c r="VQC31" s="672"/>
      <c r="VQD31" s="672"/>
      <c r="VQE31" s="672"/>
      <c r="VQF31" s="672"/>
      <c r="VQG31" s="672"/>
      <c r="VQH31" s="672"/>
      <c r="VQI31" s="672"/>
      <c r="VQJ31" s="672"/>
      <c r="VQK31" s="672"/>
      <c r="VQL31" s="672"/>
      <c r="VQM31" s="672"/>
      <c r="VQN31" s="672"/>
      <c r="VQO31" s="672"/>
      <c r="VQP31" s="672"/>
      <c r="VQQ31" s="672"/>
      <c r="VQR31" s="672"/>
      <c r="VQS31" s="672"/>
      <c r="VQT31" s="672"/>
      <c r="VQU31" s="672"/>
      <c r="VQV31" s="672"/>
      <c r="VQW31" s="672"/>
      <c r="VQX31" s="672"/>
      <c r="VQY31" s="672"/>
      <c r="VQZ31" s="672"/>
      <c r="VRA31" s="672"/>
      <c r="VRB31" s="672"/>
      <c r="VRC31" s="672"/>
      <c r="VRD31" s="672"/>
      <c r="VRE31" s="672"/>
      <c r="VRF31" s="672"/>
      <c r="VRG31" s="672"/>
      <c r="VRH31" s="672"/>
      <c r="VRI31" s="672"/>
      <c r="VRJ31" s="672"/>
      <c r="VRK31" s="672"/>
      <c r="VRL31" s="672"/>
      <c r="VRM31" s="672"/>
      <c r="VRN31" s="672"/>
      <c r="VRO31" s="672"/>
      <c r="VRP31" s="672"/>
      <c r="VRQ31" s="672"/>
      <c r="VRR31" s="672"/>
      <c r="VRS31" s="672"/>
      <c r="VRT31" s="672"/>
      <c r="VRU31" s="672"/>
      <c r="VRV31" s="672"/>
      <c r="VRW31" s="672"/>
      <c r="VRX31" s="672"/>
      <c r="VRY31" s="672"/>
      <c r="VRZ31" s="672"/>
      <c r="VSA31" s="672"/>
      <c r="VSB31" s="672"/>
      <c r="VSC31" s="672"/>
      <c r="VSD31" s="672"/>
      <c r="VSE31" s="672"/>
      <c r="VSF31" s="672"/>
      <c r="VSG31" s="672"/>
      <c r="VSH31" s="672"/>
      <c r="VSI31" s="672"/>
      <c r="VSJ31" s="672"/>
      <c r="VSK31" s="672"/>
      <c r="VSL31" s="672"/>
      <c r="VSM31" s="672"/>
      <c r="VSN31" s="672"/>
      <c r="VSO31" s="672"/>
      <c r="VSP31" s="672"/>
      <c r="VSQ31" s="672"/>
      <c r="VSR31" s="672"/>
      <c r="VSS31" s="672"/>
      <c r="VST31" s="672"/>
      <c r="VSU31" s="672"/>
      <c r="VSV31" s="672"/>
      <c r="VSW31" s="672"/>
      <c r="VSX31" s="672"/>
      <c r="VSY31" s="672"/>
      <c r="VSZ31" s="672"/>
      <c r="VTA31" s="672"/>
      <c r="VTB31" s="672"/>
      <c r="VTC31" s="672"/>
      <c r="VTD31" s="672"/>
      <c r="VTE31" s="672"/>
      <c r="VTF31" s="672"/>
      <c r="VTG31" s="672"/>
      <c r="VTH31" s="672"/>
      <c r="VTI31" s="672"/>
      <c r="VTJ31" s="672"/>
      <c r="VTK31" s="672"/>
      <c r="VTL31" s="672"/>
      <c r="VTM31" s="672"/>
      <c r="VTN31" s="672"/>
      <c r="VTO31" s="672"/>
      <c r="VTP31" s="672"/>
      <c r="VTQ31" s="672"/>
      <c r="VTR31" s="672"/>
      <c r="VTS31" s="672"/>
      <c r="VTT31" s="672"/>
      <c r="VTU31" s="672"/>
      <c r="VTV31" s="672"/>
      <c r="VTW31" s="672"/>
      <c r="VTX31" s="672"/>
      <c r="VTY31" s="672"/>
      <c r="VTZ31" s="672"/>
      <c r="VUA31" s="672"/>
      <c r="VUB31" s="672"/>
      <c r="VUC31" s="672"/>
      <c r="VUD31" s="672"/>
      <c r="VUE31" s="672"/>
      <c r="VUF31" s="672"/>
      <c r="VUG31" s="672"/>
      <c r="VUH31" s="672"/>
      <c r="VUI31" s="672"/>
      <c r="VUJ31" s="672"/>
      <c r="VUK31" s="672"/>
      <c r="VUL31" s="672"/>
      <c r="VUM31" s="672"/>
      <c r="VUN31" s="672"/>
      <c r="VUO31" s="672"/>
      <c r="VUP31" s="672"/>
      <c r="VUQ31" s="672"/>
      <c r="VUR31" s="672"/>
      <c r="VUS31" s="672"/>
      <c r="VUT31" s="672"/>
      <c r="VUU31" s="672"/>
      <c r="VUV31" s="672"/>
      <c r="VUW31" s="672"/>
      <c r="VUX31" s="672"/>
      <c r="VUY31" s="672"/>
      <c r="VUZ31" s="672"/>
      <c r="VVA31" s="672"/>
      <c r="VVB31" s="672"/>
      <c r="VVC31" s="672"/>
      <c r="VVD31" s="672"/>
      <c r="VVE31" s="672"/>
      <c r="VVF31" s="672"/>
      <c r="VVG31" s="672"/>
      <c r="VVH31" s="672"/>
      <c r="VVI31" s="672"/>
      <c r="VVJ31" s="672"/>
      <c r="VVK31" s="672"/>
      <c r="VVL31" s="672"/>
      <c r="VVM31" s="672"/>
      <c r="VVN31" s="672"/>
      <c r="VVO31" s="672"/>
      <c r="VVP31" s="672"/>
      <c r="VVQ31" s="672"/>
      <c r="VVR31" s="672"/>
      <c r="VVS31" s="672"/>
      <c r="VVT31" s="672"/>
      <c r="VVU31" s="672"/>
      <c r="VVV31" s="672"/>
      <c r="VVW31" s="672"/>
      <c r="VVX31" s="672"/>
      <c r="VVY31" s="672"/>
      <c r="VVZ31" s="672"/>
      <c r="VWA31" s="672"/>
      <c r="VWB31" s="672"/>
      <c r="VWC31" s="672"/>
      <c r="VWD31" s="672"/>
      <c r="VWE31" s="672"/>
      <c r="VWF31" s="672"/>
      <c r="VWG31" s="672"/>
      <c r="VWH31" s="672"/>
      <c r="VWI31" s="672"/>
      <c r="VWJ31" s="672"/>
      <c r="VWK31" s="672"/>
      <c r="VWL31" s="672"/>
      <c r="VWM31" s="672"/>
      <c r="VWN31" s="672"/>
      <c r="VWO31" s="672"/>
      <c r="VWP31" s="672"/>
      <c r="VWQ31" s="672"/>
      <c r="VWR31" s="672"/>
      <c r="VWS31" s="672"/>
      <c r="VWT31" s="672"/>
      <c r="VWU31" s="672"/>
      <c r="VWV31" s="672"/>
      <c r="VWW31" s="672"/>
      <c r="VWX31" s="672"/>
      <c r="VWY31" s="672"/>
      <c r="VWZ31" s="672"/>
      <c r="VXA31" s="672"/>
      <c r="VXB31" s="672"/>
      <c r="VXC31" s="672"/>
      <c r="VXD31" s="672"/>
      <c r="VXE31" s="672"/>
      <c r="VXF31" s="672"/>
      <c r="VXG31" s="672"/>
      <c r="VXH31" s="672"/>
      <c r="VXI31" s="672"/>
      <c r="VXJ31" s="672"/>
      <c r="VXK31" s="672"/>
      <c r="VXL31" s="672"/>
      <c r="VXM31" s="672"/>
      <c r="VXN31" s="672"/>
      <c r="VXO31" s="672"/>
      <c r="VXP31" s="672"/>
      <c r="VXQ31" s="672"/>
      <c r="VXR31" s="672"/>
      <c r="VXS31" s="672"/>
      <c r="VXT31" s="672"/>
      <c r="VXU31" s="672"/>
      <c r="VXV31" s="672"/>
      <c r="VXW31" s="672"/>
      <c r="VXX31" s="672"/>
      <c r="VXY31" s="672"/>
      <c r="VXZ31" s="672"/>
      <c r="VYA31" s="672"/>
      <c r="VYB31" s="672"/>
      <c r="VYC31" s="672"/>
      <c r="VYD31" s="672"/>
      <c r="VYE31" s="672"/>
      <c r="VYF31" s="672"/>
      <c r="VYG31" s="672"/>
      <c r="VYH31" s="672"/>
      <c r="VYI31" s="672"/>
      <c r="VYJ31" s="672"/>
      <c r="VYK31" s="672"/>
      <c r="VYL31" s="672"/>
      <c r="VYM31" s="672"/>
      <c r="VYN31" s="672"/>
      <c r="VYO31" s="672"/>
      <c r="VYP31" s="672"/>
      <c r="VYQ31" s="672"/>
      <c r="VYR31" s="672"/>
      <c r="VYS31" s="672"/>
      <c r="VYT31" s="672"/>
      <c r="VYU31" s="672"/>
      <c r="VYV31" s="672"/>
      <c r="VYW31" s="672"/>
      <c r="VYX31" s="672"/>
      <c r="VYY31" s="672"/>
      <c r="VYZ31" s="672"/>
      <c r="VZA31" s="672"/>
      <c r="VZB31" s="672"/>
      <c r="VZC31" s="672"/>
      <c r="VZD31" s="672"/>
      <c r="VZE31" s="672"/>
      <c r="VZF31" s="672"/>
      <c r="VZG31" s="672"/>
      <c r="VZH31" s="672"/>
      <c r="VZI31" s="672"/>
      <c r="VZJ31" s="672"/>
      <c r="VZK31" s="672"/>
      <c r="VZL31" s="672"/>
      <c r="VZM31" s="672"/>
      <c r="VZN31" s="672"/>
      <c r="VZO31" s="672"/>
      <c r="VZP31" s="672"/>
      <c r="VZQ31" s="672"/>
      <c r="VZR31" s="672"/>
      <c r="VZS31" s="672"/>
      <c r="VZT31" s="672"/>
      <c r="VZU31" s="672"/>
      <c r="VZV31" s="672"/>
      <c r="VZW31" s="672"/>
      <c r="VZX31" s="672"/>
      <c r="VZY31" s="672"/>
      <c r="VZZ31" s="672"/>
      <c r="WAA31" s="672"/>
      <c r="WAB31" s="672"/>
      <c r="WAC31" s="672"/>
      <c r="WAD31" s="672"/>
      <c r="WAE31" s="672"/>
      <c r="WAF31" s="672"/>
      <c r="WAG31" s="672"/>
      <c r="WAH31" s="672"/>
      <c r="WAI31" s="672"/>
      <c r="WAJ31" s="672"/>
      <c r="WAK31" s="672"/>
      <c r="WAL31" s="672"/>
      <c r="WAM31" s="672"/>
      <c r="WAN31" s="672"/>
      <c r="WAO31" s="672"/>
      <c r="WAP31" s="672"/>
      <c r="WAQ31" s="672"/>
      <c r="WAR31" s="672"/>
      <c r="WAS31" s="672"/>
      <c r="WAT31" s="672"/>
      <c r="WAU31" s="672"/>
      <c r="WAV31" s="672"/>
      <c r="WAW31" s="672"/>
      <c r="WAX31" s="672"/>
      <c r="WAY31" s="672"/>
      <c r="WAZ31" s="672"/>
      <c r="WBA31" s="672"/>
      <c r="WBB31" s="672"/>
      <c r="WBC31" s="672"/>
      <c r="WBD31" s="672"/>
      <c r="WBE31" s="672"/>
      <c r="WBF31" s="672"/>
      <c r="WBG31" s="672"/>
      <c r="WBH31" s="672"/>
      <c r="WBI31" s="672"/>
      <c r="WBJ31" s="672"/>
      <c r="WBK31" s="672"/>
      <c r="WBL31" s="672"/>
      <c r="WBM31" s="672"/>
      <c r="WBN31" s="672"/>
      <c r="WBO31" s="672"/>
      <c r="WBP31" s="672"/>
      <c r="WBQ31" s="672"/>
      <c r="WBR31" s="672"/>
      <c r="WBS31" s="672"/>
      <c r="WBT31" s="672"/>
      <c r="WBU31" s="672"/>
      <c r="WBV31" s="672"/>
      <c r="WBW31" s="672"/>
      <c r="WBX31" s="672"/>
      <c r="WBY31" s="672"/>
      <c r="WBZ31" s="672"/>
      <c r="WCA31" s="672"/>
      <c r="WCB31" s="672"/>
      <c r="WCC31" s="672"/>
      <c r="WCD31" s="672"/>
      <c r="WCE31" s="672"/>
      <c r="WCF31" s="672"/>
      <c r="WCG31" s="672"/>
      <c r="WCH31" s="672"/>
      <c r="WCI31" s="672"/>
      <c r="WCJ31" s="672"/>
      <c r="WCK31" s="672"/>
      <c r="WCL31" s="672"/>
      <c r="WCM31" s="672"/>
      <c r="WCN31" s="672"/>
      <c r="WCO31" s="672"/>
      <c r="WCP31" s="672"/>
      <c r="WCQ31" s="672"/>
      <c r="WCR31" s="672"/>
      <c r="WCS31" s="672"/>
      <c r="WCT31" s="672"/>
      <c r="WCU31" s="672"/>
      <c r="WCV31" s="672"/>
      <c r="WCW31" s="672"/>
      <c r="WCX31" s="672"/>
      <c r="WCY31" s="672"/>
      <c r="WCZ31" s="672"/>
      <c r="WDA31" s="672"/>
      <c r="WDB31" s="672"/>
      <c r="WDC31" s="672"/>
      <c r="WDD31" s="672"/>
      <c r="WDE31" s="672"/>
      <c r="WDF31" s="672"/>
      <c r="WDG31" s="672"/>
      <c r="WDH31" s="672"/>
      <c r="WDI31" s="672"/>
      <c r="WDJ31" s="672"/>
      <c r="WDK31" s="672"/>
      <c r="WDL31" s="672"/>
      <c r="WDM31" s="672"/>
      <c r="WDN31" s="672"/>
      <c r="WDO31" s="672"/>
      <c r="WDP31" s="672"/>
      <c r="WDQ31" s="672"/>
      <c r="WDR31" s="672"/>
      <c r="WDS31" s="672"/>
      <c r="WDT31" s="672"/>
      <c r="WDU31" s="672"/>
      <c r="WDV31" s="672"/>
      <c r="WDW31" s="672"/>
      <c r="WDX31" s="672"/>
      <c r="WDY31" s="672"/>
      <c r="WDZ31" s="672"/>
      <c r="WEA31" s="672"/>
      <c r="WEB31" s="672"/>
      <c r="WEC31" s="672"/>
      <c r="WED31" s="672"/>
      <c r="WEE31" s="672"/>
      <c r="WEF31" s="672"/>
      <c r="WEG31" s="672"/>
      <c r="WEH31" s="672"/>
      <c r="WEI31" s="672"/>
      <c r="WEJ31" s="672"/>
      <c r="WEK31" s="672"/>
      <c r="WEL31" s="672"/>
      <c r="WEM31" s="672"/>
      <c r="WEN31" s="672"/>
      <c r="WEO31" s="672"/>
      <c r="WEP31" s="672"/>
      <c r="WEQ31" s="672"/>
      <c r="WER31" s="672"/>
      <c r="WES31" s="672"/>
      <c r="WET31" s="672"/>
      <c r="WEU31" s="672"/>
      <c r="WEV31" s="672"/>
      <c r="WEW31" s="672"/>
      <c r="WEX31" s="672"/>
      <c r="WEY31" s="672"/>
      <c r="WEZ31" s="672"/>
      <c r="WFA31" s="672"/>
      <c r="WFB31" s="672"/>
      <c r="WFC31" s="672"/>
      <c r="WFD31" s="672"/>
      <c r="WFE31" s="672"/>
      <c r="WFF31" s="672"/>
      <c r="WFG31" s="672"/>
      <c r="WFH31" s="672"/>
      <c r="WFI31" s="672"/>
      <c r="WFJ31" s="672"/>
      <c r="WFK31" s="672"/>
      <c r="WFL31" s="672"/>
      <c r="WFM31" s="672"/>
      <c r="WFN31" s="672"/>
      <c r="WFO31" s="672"/>
      <c r="WFP31" s="672"/>
      <c r="WFQ31" s="672"/>
      <c r="WFR31" s="672"/>
      <c r="WFS31" s="672"/>
      <c r="WFT31" s="672"/>
      <c r="WFU31" s="672"/>
      <c r="WFV31" s="672"/>
      <c r="WFW31" s="672"/>
      <c r="WFX31" s="672"/>
      <c r="WFY31" s="672"/>
      <c r="WFZ31" s="672"/>
      <c r="WGA31" s="672"/>
      <c r="WGB31" s="672"/>
      <c r="WGC31" s="672"/>
      <c r="WGD31" s="672"/>
      <c r="WGE31" s="672"/>
      <c r="WGF31" s="672"/>
      <c r="WGG31" s="672"/>
      <c r="WGH31" s="672"/>
      <c r="WGI31" s="672"/>
      <c r="WGJ31" s="672"/>
      <c r="WGK31" s="672"/>
      <c r="WGL31" s="672"/>
      <c r="WGM31" s="672"/>
      <c r="WGN31" s="672"/>
      <c r="WGO31" s="672"/>
      <c r="WGP31" s="672"/>
      <c r="WGQ31" s="672"/>
      <c r="WGR31" s="672"/>
      <c r="WGS31" s="672"/>
      <c r="WGT31" s="672"/>
      <c r="WGU31" s="672"/>
      <c r="WGV31" s="672"/>
      <c r="WGW31" s="672"/>
      <c r="WGX31" s="672"/>
      <c r="WGY31" s="672"/>
      <c r="WGZ31" s="672"/>
      <c r="WHA31" s="672"/>
      <c r="WHB31" s="672"/>
      <c r="WHC31" s="672"/>
      <c r="WHD31" s="672"/>
      <c r="WHE31" s="672"/>
      <c r="WHF31" s="672"/>
      <c r="WHG31" s="672"/>
      <c r="WHH31" s="672"/>
      <c r="WHI31" s="672"/>
      <c r="WHJ31" s="672"/>
      <c r="WHK31" s="672"/>
      <c r="WHL31" s="672"/>
      <c r="WHM31" s="672"/>
      <c r="WHN31" s="672"/>
      <c r="WHO31" s="672"/>
      <c r="WHP31" s="672"/>
      <c r="WHQ31" s="672"/>
      <c r="WHR31" s="672"/>
      <c r="WHS31" s="672"/>
      <c r="WHT31" s="672"/>
      <c r="WHU31" s="672"/>
      <c r="WHV31" s="672"/>
      <c r="WHW31" s="672"/>
      <c r="WHX31" s="672"/>
      <c r="WHY31" s="672"/>
      <c r="WHZ31" s="672"/>
      <c r="WIA31" s="672"/>
      <c r="WIB31" s="672"/>
      <c r="WIC31" s="672"/>
      <c r="WID31" s="672"/>
      <c r="WIE31" s="672"/>
      <c r="WIF31" s="672"/>
      <c r="WIG31" s="672"/>
      <c r="WIH31" s="672"/>
      <c r="WII31" s="672"/>
      <c r="WIJ31" s="672"/>
      <c r="WIK31" s="672"/>
      <c r="WIL31" s="672"/>
      <c r="WIM31" s="672"/>
      <c r="WIN31" s="672"/>
      <c r="WIO31" s="672"/>
      <c r="WIP31" s="672"/>
      <c r="WIQ31" s="672"/>
      <c r="WIR31" s="672"/>
      <c r="WIS31" s="672"/>
      <c r="WIT31" s="672"/>
      <c r="WIU31" s="672"/>
      <c r="WIV31" s="672"/>
      <c r="WIW31" s="672"/>
      <c r="WIX31" s="672"/>
      <c r="WIY31" s="672"/>
      <c r="WIZ31" s="672"/>
      <c r="WJA31" s="672"/>
      <c r="WJB31" s="672"/>
      <c r="WJC31" s="672"/>
      <c r="WJD31" s="672"/>
      <c r="WJE31" s="672"/>
      <c r="WJF31" s="672"/>
      <c r="WJG31" s="672"/>
      <c r="WJH31" s="672"/>
      <c r="WJI31" s="672"/>
      <c r="WJJ31" s="672"/>
      <c r="WJK31" s="672"/>
      <c r="WJL31" s="672"/>
      <c r="WJM31" s="672"/>
      <c r="WJN31" s="672"/>
      <c r="WJO31" s="672"/>
      <c r="WJP31" s="672"/>
      <c r="WJQ31" s="672"/>
      <c r="WJR31" s="672"/>
      <c r="WJS31" s="672"/>
      <c r="WJT31" s="672"/>
      <c r="WJU31" s="672"/>
      <c r="WJV31" s="672"/>
      <c r="WJW31" s="672"/>
      <c r="WJX31" s="672"/>
      <c r="WJY31" s="672"/>
      <c r="WJZ31" s="672"/>
      <c r="WKA31" s="672"/>
      <c r="WKB31" s="672"/>
      <c r="WKC31" s="672"/>
      <c r="WKD31" s="672"/>
      <c r="WKE31" s="672"/>
      <c r="WKF31" s="672"/>
      <c r="WKG31" s="672"/>
      <c r="WKH31" s="672"/>
      <c r="WKI31" s="672"/>
      <c r="WKJ31" s="672"/>
      <c r="WKK31" s="672"/>
      <c r="WKL31" s="672"/>
      <c r="WKM31" s="672"/>
      <c r="WKN31" s="672"/>
      <c r="WKO31" s="672"/>
      <c r="WKP31" s="672"/>
      <c r="WKQ31" s="672"/>
      <c r="WKR31" s="672"/>
      <c r="WKS31" s="672"/>
      <c r="WKT31" s="672"/>
      <c r="WKU31" s="672"/>
      <c r="WKV31" s="672"/>
      <c r="WKW31" s="672"/>
      <c r="WKX31" s="672"/>
      <c r="WKY31" s="672"/>
      <c r="WKZ31" s="672"/>
      <c r="WLA31" s="672"/>
      <c r="WLB31" s="672"/>
      <c r="WLC31" s="672"/>
      <c r="WLD31" s="672"/>
      <c r="WLE31" s="672"/>
      <c r="WLF31" s="672"/>
      <c r="WLG31" s="672"/>
      <c r="WLH31" s="672"/>
      <c r="WLI31" s="672"/>
      <c r="WLJ31" s="672"/>
      <c r="WLK31" s="672"/>
      <c r="WLL31" s="672"/>
      <c r="WLM31" s="672"/>
      <c r="WLN31" s="672"/>
      <c r="WLO31" s="672"/>
      <c r="WLP31" s="672"/>
      <c r="WLQ31" s="672"/>
      <c r="WLR31" s="672"/>
      <c r="WLS31" s="672"/>
      <c r="WLT31" s="672"/>
      <c r="WLU31" s="672"/>
      <c r="WLV31" s="672"/>
      <c r="WLW31" s="672"/>
      <c r="WLX31" s="672"/>
      <c r="WLY31" s="672"/>
      <c r="WLZ31" s="672"/>
      <c r="WMA31" s="672"/>
      <c r="WMB31" s="672"/>
      <c r="WMC31" s="672"/>
      <c r="WMD31" s="672"/>
      <c r="WME31" s="672"/>
      <c r="WMF31" s="672"/>
      <c r="WMG31" s="672"/>
      <c r="WMH31" s="672"/>
      <c r="WMI31" s="672"/>
      <c r="WMJ31" s="672"/>
      <c r="WMK31" s="672"/>
      <c r="WML31" s="672"/>
      <c r="WMM31" s="672"/>
      <c r="WMN31" s="672"/>
      <c r="WMO31" s="672"/>
      <c r="WMP31" s="672"/>
      <c r="WMQ31" s="672"/>
      <c r="WMR31" s="672"/>
      <c r="WMS31" s="672"/>
      <c r="WMT31" s="672"/>
      <c r="WMU31" s="672"/>
      <c r="WMV31" s="672"/>
      <c r="WMW31" s="672"/>
      <c r="WMX31" s="672"/>
      <c r="WMY31" s="672"/>
      <c r="WMZ31" s="672"/>
      <c r="WNA31" s="672"/>
      <c r="WNB31" s="672"/>
      <c r="WNC31" s="672"/>
      <c r="WND31" s="672"/>
      <c r="WNE31" s="672"/>
      <c r="WNF31" s="672"/>
      <c r="WNG31" s="672"/>
      <c r="WNH31" s="672"/>
      <c r="WNI31" s="672"/>
      <c r="WNJ31" s="672"/>
      <c r="WNK31" s="672"/>
      <c r="WNL31" s="672"/>
      <c r="WNM31" s="672"/>
      <c r="WNN31" s="672"/>
      <c r="WNO31" s="672"/>
      <c r="WNP31" s="672"/>
      <c r="WNQ31" s="672"/>
      <c r="WNR31" s="672"/>
      <c r="WNS31" s="672"/>
      <c r="WNT31" s="672"/>
      <c r="WNU31" s="672"/>
      <c r="WNV31" s="672"/>
      <c r="WNW31" s="672"/>
      <c r="WNX31" s="672"/>
      <c r="WNY31" s="672"/>
      <c r="WNZ31" s="672"/>
      <c r="WOA31" s="672"/>
      <c r="WOB31" s="672"/>
      <c r="WOC31" s="672"/>
      <c r="WOD31" s="672"/>
      <c r="WOE31" s="672"/>
      <c r="WOF31" s="672"/>
      <c r="WOG31" s="672"/>
      <c r="WOH31" s="672"/>
      <c r="WOI31" s="672"/>
      <c r="WOJ31" s="672"/>
      <c r="WOK31" s="672"/>
      <c r="WOL31" s="672"/>
      <c r="WOM31" s="672"/>
      <c r="WON31" s="672"/>
      <c r="WOO31" s="672"/>
      <c r="WOP31" s="672"/>
      <c r="WOQ31" s="672"/>
      <c r="WOR31" s="672"/>
      <c r="WOS31" s="672"/>
      <c r="WOT31" s="672"/>
      <c r="WOU31" s="672"/>
      <c r="WOV31" s="672"/>
      <c r="WOW31" s="672"/>
      <c r="WOX31" s="672"/>
      <c r="WOY31" s="672"/>
      <c r="WOZ31" s="672"/>
      <c r="WPA31" s="672"/>
      <c r="WPB31" s="672"/>
      <c r="WPC31" s="672"/>
      <c r="WPD31" s="672"/>
      <c r="WPE31" s="672"/>
      <c r="WPF31" s="672"/>
      <c r="WPG31" s="672"/>
      <c r="WPH31" s="672"/>
      <c r="WPI31" s="672"/>
      <c r="WPJ31" s="672"/>
      <c r="WPK31" s="672"/>
      <c r="WPL31" s="672"/>
      <c r="WPM31" s="672"/>
      <c r="WPN31" s="672"/>
      <c r="WPO31" s="672"/>
      <c r="WPP31" s="672"/>
      <c r="WPQ31" s="672"/>
      <c r="WPR31" s="672"/>
      <c r="WPS31" s="672"/>
      <c r="WPT31" s="672"/>
      <c r="WPU31" s="672"/>
      <c r="WPV31" s="672"/>
      <c r="WPW31" s="672"/>
      <c r="WPX31" s="672"/>
      <c r="WPY31" s="672"/>
      <c r="WPZ31" s="672"/>
      <c r="WQA31" s="672"/>
      <c r="WQB31" s="672"/>
      <c r="WQC31" s="672"/>
      <c r="WQD31" s="672"/>
      <c r="WQE31" s="672"/>
      <c r="WQF31" s="672"/>
      <c r="WQG31" s="672"/>
      <c r="WQH31" s="672"/>
      <c r="WQI31" s="672"/>
      <c r="WQJ31" s="672"/>
      <c r="WQK31" s="672"/>
      <c r="WQL31" s="672"/>
      <c r="WQM31" s="672"/>
      <c r="WQN31" s="672"/>
      <c r="WQO31" s="672"/>
      <c r="WQP31" s="672"/>
      <c r="WQQ31" s="672"/>
      <c r="WQR31" s="672"/>
      <c r="WQS31" s="672"/>
      <c r="WQT31" s="672"/>
      <c r="WQU31" s="672"/>
      <c r="WQV31" s="672"/>
      <c r="WQW31" s="672"/>
      <c r="WQX31" s="672"/>
      <c r="WQY31" s="672"/>
      <c r="WQZ31" s="672"/>
      <c r="WRA31" s="672"/>
      <c r="WRB31" s="672"/>
      <c r="WRC31" s="672"/>
      <c r="WRD31" s="672"/>
      <c r="WRE31" s="672"/>
      <c r="WRF31" s="672"/>
      <c r="WRG31" s="672"/>
      <c r="WRH31" s="672"/>
      <c r="WRI31" s="672"/>
      <c r="WRJ31" s="672"/>
      <c r="WRK31" s="672"/>
      <c r="WRL31" s="672"/>
      <c r="WRM31" s="672"/>
      <c r="WRN31" s="672"/>
      <c r="WRO31" s="672"/>
      <c r="WRP31" s="672"/>
      <c r="WRQ31" s="672"/>
      <c r="WRR31" s="672"/>
      <c r="WRS31" s="672"/>
      <c r="WRT31" s="672"/>
      <c r="WRU31" s="672"/>
      <c r="WRV31" s="672"/>
      <c r="WRW31" s="672"/>
      <c r="WRX31" s="672"/>
      <c r="WRY31" s="672"/>
      <c r="WRZ31" s="672"/>
      <c r="WSA31" s="672"/>
      <c r="WSB31" s="672"/>
      <c r="WSC31" s="672"/>
      <c r="WSD31" s="672"/>
      <c r="WSE31" s="672"/>
      <c r="WSF31" s="672"/>
      <c r="WSG31" s="672"/>
      <c r="WSH31" s="672"/>
      <c r="WSI31" s="672"/>
      <c r="WSJ31" s="672"/>
      <c r="WSK31" s="672"/>
      <c r="WSL31" s="672"/>
      <c r="WSM31" s="672"/>
      <c r="WSN31" s="672"/>
      <c r="WSO31" s="672"/>
      <c r="WSP31" s="672"/>
      <c r="WSQ31" s="672"/>
      <c r="WSR31" s="672"/>
      <c r="WSS31" s="672"/>
      <c r="WST31" s="672"/>
      <c r="WSU31" s="672"/>
      <c r="WSV31" s="672"/>
      <c r="WSW31" s="672"/>
      <c r="WSX31" s="672"/>
      <c r="WSY31" s="672"/>
      <c r="WSZ31" s="672"/>
      <c r="WTA31" s="672"/>
      <c r="WTB31" s="672"/>
      <c r="WTC31" s="672"/>
      <c r="WTD31" s="672"/>
      <c r="WTE31" s="672"/>
      <c r="WTF31" s="672"/>
      <c r="WTG31" s="672"/>
      <c r="WTH31" s="672"/>
      <c r="WTI31" s="672"/>
      <c r="WTJ31" s="672"/>
      <c r="WTK31" s="672"/>
      <c r="WTL31" s="672"/>
      <c r="WTM31" s="672"/>
      <c r="WTN31" s="672"/>
      <c r="WTO31" s="672"/>
      <c r="WTP31" s="672"/>
      <c r="WTQ31" s="672"/>
      <c r="WTR31" s="672"/>
      <c r="WTS31" s="672"/>
      <c r="WTT31" s="672"/>
      <c r="WTU31" s="672"/>
      <c r="WTV31" s="672"/>
      <c r="WTW31" s="672"/>
      <c r="WTX31" s="672"/>
      <c r="WTY31" s="672"/>
      <c r="WTZ31" s="672"/>
      <c r="WUA31" s="672"/>
      <c r="WUB31" s="672"/>
      <c r="WUC31" s="672"/>
      <c r="WUD31" s="672"/>
      <c r="WUE31" s="672"/>
      <c r="WUF31" s="672"/>
      <c r="WUG31" s="672"/>
      <c r="WUH31" s="672"/>
      <c r="WUI31" s="672"/>
      <c r="WUJ31" s="672"/>
      <c r="WUK31" s="672"/>
      <c r="WUL31" s="672"/>
      <c r="WUM31" s="672"/>
      <c r="WUN31" s="672"/>
      <c r="WUO31" s="672"/>
      <c r="WUP31" s="672"/>
      <c r="WUQ31" s="672"/>
      <c r="WUR31" s="672"/>
      <c r="WUS31" s="672"/>
      <c r="WUT31" s="672"/>
      <c r="WUU31" s="672"/>
      <c r="WUV31" s="672"/>
      <c r="WUW31" s="672"/>
      <c r="WUX31" s="672"/>
      <c r="WUY31" s="672"/>
      <c r="WUZ31" s="672"/>
      <c r="WVA31" s="672"/>
      <c r="WVB31" s="672"/>
      <c r="WVC31" s="672"/>
      <c r="WVD31" s="672"/>
      <c r="WVE31" s="672"/>
      <c r="WVF31" s="672"/>
      <c r="WVG31" s="672"/>
      <c r="WVH31" s="672"/>
      <c r="WVI31" s="672"/>
      <c r="WVJ31" s="672"/>
      <c r="WVK31" s="672"/>
      <c r="WVL31" s="672"/>
      <c r="WVM31" s="672"/>
      <c r="WVN31" s="672"/>
      <c r="WVO31" s="672"/>
      <c r="WVP31" s="672"/>
      <c r="WVQ31" s="672"/>
      <c r="WVR31" s="672"/>
      <c r="WVS31" s="672"/>
      <c r="WVT31" s="672"/>
      <c r="WVU31" s="672"/>
      <c r="WVV31" s="672"/>
      <c r="WVW31" s="672"/>
      <c r="WVX31" s="672"/>
      <c r="WVY31" s="672"/>
      <c r="WVZ31" s="672"/>
      <c r="WWA31" s="672"/>
      <c r="WWB31" s="672"/>
      <c r="WWC31" s="672"/>
      <c r="WWD31" s="672"/>
      <c r="WWE31" s="672"/>
      <c r="WWF31" s="672"/>
      <c r="WWG31" s="672"/>
      <c r="WWH31" s="672"/>
      <c r="WWI31" s="672"/>
      <c r="WWJ31" s="672"/>
      <c r="WWK31" s="672"/>
      <c r="WWL31" s="672"/>
      <c r="WWM31" s="672"/>
      <c r="WWN31" s="672"/>
      <c r="WWO31" s="672"/>
      <c r="WWP31" s="672"/>
      <c r="WWQ31" s="672"/>
      <c r="WWR31" s="672"/>
      <c r="WWS31" s="672"/>
      <c r="WWT31" s="672"/>
      <c r="WWU31" s="672"/>
      <c r="WWV31" s="672"/>
      <c r="WWW31" s="672"/>
      <c r="WWX31" s="672"/>
      <c r="WWY31" s="672"/>
      <c r="WWZ31" s="672"/>
      <c r="WXA31" s="672"/>
      <c r="WXB31" s="672"/>
      <c r="WXC31" s="672"/>
      <c r="WXD31" s="672"/>
      <c r="WXE31" s="672"/>
      <c r="WXF31" s="672"/>
      <c r="WXG31" s="672"/>
      <c r="WXH31" s="672"/>
      <c r="WXI31" s="672"/>
      <c r="WXJ31" s="672"/>
      <c r="WXK31" s="672"/>
      <c r="WXL31" s="672"/>
      <c r="WXM31" s="672"/>
      <c r="WXN31" s="672"/>
      <c r="WXO31" s="672"/>
      <c r="WXP31" s="672"/>
      <c r="WXQ31" s="672"/>
      <c r="WXR31" s="672"/>
      <c r="WXS31" s="672"/>
      <c r="WXT31" s="672"/>
      <c r="WXU31" s="672"/>
      <c r="WXV31" s="672"/>
      <c r="WXW31" s="672"/>
      <c r="WXX31" s="672"/>
      <c r="WXY31" s="672"/>
      <c r="WXZ31" s="672"/>
      <c r="WYA31" s="672"/>
      <c r="WYB31" s="672"/>
      <c r="WYC31" s="672"/>
      <c r="WYD31" s="672"/>
      <c r="WYE31" s="672"/>
      <c r="WYF31" s="672"/>
      <c r="WYG31" s="672"/>
      <c r="WYH31" s="672"/>
      <c r="WYI31" s="672"/>
      <c r="WYJ31" s="672"/>
      <c r="WYK31" s="672"/>
      <c r="WYL31" s="672"/>
      <c r="WYM31" s="672"/>
      <c r="WYN31" s="672"/>
      <c r="WYO31" s="672"/>
      <c r="WYP31" s="672"/>
      <c r="WYQ31" s="672"/>
      <c r="WYR31" s="672"/>
      <c r="WYS31" s="672"/>
      <c r="WYT31" s="672"/>
      <c r="WYU31" s="672"/>
      <c r="WYV31" s="672"/>
      <c r="WYW31" s="672"/>
      <c r="WYX31" s="672"/>
      <c r="WYY31" s="672"/>
      <c r="WYZ31" s="672"/>
      <c r="WZA31" s="672"/>
      <c r="WZB31" s="672"/>
      <c r="WZC31" s="672"/>
      <c r="WZD31" s="672"/>
      <c r="WZE31" s="672"/>
      <c r="WZF31" s="672"/>
      <c r="WZG31" s="672"/>
      <c r="WZH31" s="672"/>
      <c r="WZI31" s="672"/>
      <c r="WZJ31" s="672"/>
      <c r="WZK31" s="672"/>
      <c r="WZL31" s="672"/>
      <c r="WZM31" s="672"/>
      <c r="WZN31" s="672"/>
      <c r="WZO31" s="672"/>
      <c r="WZP31" s="672"/>
      <c r="WZQ31" s="672"/>
      <c r="WZR31" s="672"/>
      <c r="WZS31" s="672"/>
      <c r="WZT31" s="672"/>
      <c r="WZU31" s="672"/>
      <c r="WZV31" s="672"/>
      <c r="WZW31" s="672"/>
      <c r="WZX31" s="672"/>
      <c r="WZY31" s="672"/>
      <c r="WZZ31" s="672"/>
      <c r="XAA31" s="672"/>
      <c r="XAB31" s="672"/>
      <c r="XAC31" s="672"/>
      <c r="XAD31" s="672"/>
      <c r="XAE31" s="672"/>
      <c r="XAF31" s="672"/>
      <c r="XAG31" s="672"/>
      <c r="XAH31" s="672"/>
      <c r="XAI31" s="672"/>
      <c r="XAJ31" s="672"/>
      <c r="XAK31" s="672"/>
      <c r="XAL31" s="672"/>
      <c r="XAM31" s="672"/>
      <c r="XAN31" s="672"/>
      <c r="XAO31" s="672"/>
      <c r="XAP31" s="672"/>
      <c r="XAQ31" s="672"/>
      <c r="XAR31" s="672"/>
      <c r="XAS31" s="672"/>
      <c r="XAT31" s="672"/>
      <c r="XAU31" s="672"/>
      <c r="XAV31" s="672"/>
      <c r="XAW31" s="672"/>
      <c r="XAX31" s="672"/>
      <c r="XAY31" s="672"/>
      <c r="XAZ31" s="672"/>
      <c r="XBA31" s="672"/>
      <c r="XBB31" s="672"/>
      <c r="XBC31" s="672"/>
      <c r="XBD31" s="672"/>
      <c r="XBE31" s="672"/>
      <c r="XBF31" s="672"/>
      <c r="XBG31" s="672"/>
      <c r="XBH31" s="672"/>
      <c r="XBI31" s="672"/>
      <c r="XBJ31" s="672"/>
      <c r="XBK31" s="672"/>
      <c r="XBL31" s="672"/>
      <c r="XBM31" s="672"/>
      <c r="XBN31" s="672"/>
      <c r="XBO31" s="672"/>
      <c r="XBP31" s="672"/>
      <c r="XBQ31" s="672"/>
      <c r="XBR31" s="672"/>
      <c r="XBS31" s="672"/>
      <c r="XBT31" s="672"/>
      <c r="XBU31" s="672"/>
      <c r="XBV31" s="672"/>
      <c r="XBW31" s="672"/>
      <c r="XBX31" s="672"/>
      <c r="XBY31" s="672"/>
      <c r="XBZ31" s="672"/>
      <c r="XCA31" s="672"/>
      <c r="XCB31" s="672"/>
      <c r="XCC31" s="672"/>
      <c r="XCD31" s="672"/>
      <c r="XCE31" s="672"/>
      <c r="XCF31" s="672"/>
      <c r="XCG31" s="672"/>
      <c r="XCH31" s="672"/>
      <c r="XCI31" s="672"/>
      <c r="XCJ31" s="672"/>
      <c r="XCK31" s="672"/>
      <c r="XCL31" s="672"/>
      <c r="XCM31" s="672"/>
      <c r="XCN31" s="672"/>
      <c r="XCO31" s="672"/>
      <c r="XCP31" s="672"/>
      <c r="XCQ31" s="672"/>
      <c r="XCR31" s="672"/>
      <c r="XCS31" s="672"/>
      <c r="XCT31" s="672"/>
      <c r="XCU31" s="672"/>
      <c r="XCV31" s="672"/>
      <c r="XCW31" s="672"/>
      <c r="XCX31" s="672"/>
      <c r="XCY31" s="672"/>
      <c r="XCZ31" s="672"/>
      <c r="XDA31" s="672"/>
      <c r="XDB31" s="672"/>
      <c r="XDC31" s="672"/>
      <c r="XDD31" s="672"/>
      <c r="XDE31" s="672"/>
      <c r="XDF31" s="672"/>
      <c r="XDG31" s="672"/>
      <c r="XDH31" s="672"/>
      <c r="XDI31" s="672"/>
      <c r="XDJ31" s="672"/>
      <c r="XDK31" s="672"/>
      <c r="XDL31" s="672"/>
      <c r="XDM31" s="672"/>
      <c r="XDN31" s="672"/>
      <c r="XDO31" s="672"/>
      <c r="XDP31" s="672"/>
      <c r="XDQ31" s="672"/>
      <c r="XDR31" s="672"/>
      <c r="XDS31" s="672"/>
      <c r="XDT31" s="672"/>
      <c r="XDU31" s="672"/>
      <c r="XDV31" s="672"/>
      <c r="XDW31" s="672"/>
      <c r="XDX31" s="672"/>
      <c r="XDY31" s="672"/>
      <c r="XDZ31" s="672"/>
      <c r="XEA31" s="672"/>
      <c r="XEB31" s="672"/>
      <c r="XEC31" s="672"/>
      <c r="XED31" s="672"/>
      <c r="XEE31" s="672"/>
      <c r="XEF31" s="672"/>
      <c r="XEG31" s="672"/>
      <c r="XEH31" s="672"/>
      <c r="XEI31" s="672"/>
      <c r="XEJ31" s="672"/>
      <c r="XEK31" s="672"/>
      <c r="XEL31" s="672"/>
      <c r="XEM31" s="672"/>
      <c r="XEN31" s="672"/>
      <c r="XEO31" s="672"/>
      <c r="XEP31" s="672"/>
      <c r="XEQ31" s="672"/>
      <c r="XER31" s="672"/>
      <c r="XES31" s="672"/>
      <c r="XET31" s="672"/>
      <c r="XEU31" s="672"/>
      <c r="XEV31" s="672"/>
      <c r="XEW31" s="672"/>
      <c r="XEX31" s="672"/>
      <c r="XEY31" s="672"/>
      <c r="XEZ31" s="672"/>
      <c r="XFA31" s="672"/>
      <c r="XFB31" s="672"/>
      <c r="XFC31" s="672"/>
      <c r="XFD31" s="672"/>
    </row>
    <row r="32" spans="1:16384" s="760" customFormat="1" ht="63" customHeight="1" x14ac:dyDescent="0.35">
      <c r="A32" s="794"/>
      <c r="B32" s="795"/>
      <c r="C32" s="795"/>
      <c r="D32" s="795"/>
      <c r="E32" s="795"/>
      <c r="F32" s="795"/>
      <c r="G32" s="795"/>
      <c r="H32" s="796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672"/>
      <c r="W32" s="672"/>
      <c r="X32" s="672"/>
      <c r="Y32" s="672"/>
      <c r="Z32" s="672"/>
      <c r="AA32" s="672"/>
      <c r="AB32" s="672"/>
      <c r="AC32" s="672"/>
      <c r="AD32" s="672"/>
      <c r="AE32" s="672"/>
      <c r="AF32" s="672"/>
      <c r="AG32" s="672"/>
      <c r="AH32" s="672"/>
      <c r="AI32" s="672"/>
      <c r="AJ32" s="672"/>
      <c r="AK32" s="672"/>
      <c r="AL32" s="672"/>
      <c r="AM32" s="672"/>
      <c r="AN32" s="672"/>
      <c r="AO32" s="672"/>
      <c r="AP32" s="672"/>
      <c r="AQ32" s="672"/>
      <c r="AR32" s="672"/>
      <c r="AS32" s="672"/>
      <c r="AT32" s="672"/>
      <c r="AU32" s="672"/>
      <c r="AV32" s="672"/>
      <c r="AW32" s="672"/>
      <c r="AX32" s="672"/>
      <c r="AY32" s="672"/>
      <c r="AZ32" s="672"/>
      <c r="BA32" s="672"/>
      <c r="BB32" s="672"/>
      <c r="BC32" s="672"/>
      <c r="BD32" s="672"/>
      <c r="BE32" s="672"/>
      <c r="BF32" s="672"/>
      <c r="BG32" s="672"/>
      <c r="BH32" s="672"/>
      <c r="BI32" s="672"/>
      <c r="BJ32" s="672"/>
      <c r="BK32" s="672"/>
      <c r="BL32" s="672"/>
      <c r="BM32" s="672"/>
      <c r="BN32" s="672"/>
      <c r="BO32" s="672"/>
      <c r="BP32" s="672"/>
      <c r="BQ32" s="672"/>
      <c r="BR32" s="672"/>
      <c r="BS32" s="672"/>
      <c r="BT32" s="672"/>
      <c r="BU32" s="672"/>
      <c r="BV32" s="672"/>
      <c r="BW32" s="672"/>
      <c r="BX32" s="672"/>
      <c r="BY32" s="672"/>
      <c r="BZ32" s="672"/>
      <c r="CA32" s="672"/>
      <c r="CB32" s="672"/>
      <c r="CC32" s="672"/>
      <c r="CD32" s="672"/>
      <c r="CE32" s="672"/>
      <c r="CF32" s="672"/>
      <c r="CG32" s="672"/>
      <c r="CH32" s="672"/>
      <c r="CI32" s="672"/>
      <c r="CJ32" s="672"/>
      <c r="CK32" s="672"/>
      <c r="CL32" s="672"/>
      <c r="CM32" s="672"/>
      <c r="CN32" s="672"/>
      <c r="CO32" s="672"/>
      <c r="CP32" s="672"/>
      <c r="CQ32" s="672"/>
      <c r="CR32" s="672"/>
      <c r="CS32" s="672"/>
      <c r="CT32" s="672"/>
      <c r="CU32" s="672"/>
      <c r="CV32" s="672"/>
      <c r="CW32" s="672"/>
      <c r="CX32" s="672"/>
      <c r="CY32" s="672"/>
      <c r="CZ32" s="672"/>
      <c r="DA32" s="672"/>
      <c r="DB32" s="672"/>
      <c r="DC32" s="672"/>
      <c r="DD32" s="672"/>
      <c r="DE32" s="672"/>
      <c r="DF32" s="672"/>
      <c r="DG32" s="672"/>
      <c r="DH32" s="672"/>
      <c r="DI32" s="672"/>
      <c r="DJ32" s="672"/>
      <c r="DK32" s="672"/>
      <c r="DL32" s="672"/>
      <c r="DM32" s="672"/>
      <c r="DN32" s="672"/>
      <c r="DO32" s="672"/>
      <c r="DP32" s="672"/>
      <c r="DQ32" s="672"/>
      <c r="DR32" s="672"/>
      <c r="DS32" s="672"/>
      <c r="DT32" s="672"/>
      <c r="DU32" s="672"/>
      <c r="DV32" s="672"/>
      <c r="DW32" s="672"/>
      <c r="DX32" s="672"/>
      <c r="DY32" s="672"/>
      <c r="DZ32" s="672"/>
      <c r="EA32" s="672"/>
      <c r="EB32" s="672"/>
      <c r="EC32" s="672"/>
      <c r="ED32" s="672"/>
      <c r="EE32" s="672"/>
      <c r="EF32" s="672"/>
      <c r="EG32" s="672"/>
      <c r="EH32" s="672"/>
      <c r="EI32" s="672"/>
      <c r="EJ32" s="672"/>
      <c r="EK32" s="672"/>
      <c r="EL32" s="672"/>
      <c r="EM32" s="672"/>
      <c r="EN32" s="672"/>
      <c r="EO32" s="672"/>
      <c r="EP32" s="672"/>
      <c r="EQ32" s="672"/>
      <c r="ER32" s="672"/>
      <c r="ES32" s="672"/>
      <c r="ET32" s="672"/>
      <c r="EU32" s="672"/>
      <c r="EV32" s="672"/>
      <c r="EW32" s="672"/>
      <c r="EX32" s="672"/>
      <c r="EY32" s="672"/>
      <c r="EZ32" s="672"/>
      <c r="FA32" s="672"/>
      <c r="FB32" s="672"/>
      <c r="FC32" s="672"/>
      <c r="FD32" s="672"/>
      <c r="FE32" s="672"/>
      <c r="FF32" s="672"/>
      <c r="FG32" s="672"/>
      <c r="FH32" s="672"/>
      <c r="FI32" s="672"/>
      <c r="FJ32" s="672"/>
      <c r="FK32" s="672"/>
      <c r="FL32" s="672"/>
      <c r="FM32" s="672"/>
      <c r="FN32" s="672"/>
      <c r="FO32" s="672"/>
      <c r="FP32" s="672"/>
      <c r="FQ32" s="672"/>
      <c r="FR32" s="672"/>
      <c r="FS32" s="672"/>
      <c r="FT32" s="672"/>
      <c r="FU32" s="672"/>
      <c r="FV32" s="672"/>
      <c r="FW32" s="672"/>
      <c r="FX32" s="672"/>
      <c r="FY32" s="672"/>
      <c r="FZ32" s="672"/>
      <c r="GA32" s="672"/>
      <c r="GB32" s="672"/>
      <c r="GC32" s="672"/>
      <c r="GD32" s="672"/>
      <c r="GE32" s="672"/>
      <c r="GF32" s="672"/>
      <c r="GG32" s="672"/>
      <c r="GH32" s="672"/>
      <c r="GI32" s="672"/>
      <c r="GJ32" s="672"/>
      <c r="GK32" s="672"/>
      <c r="GL32" s="672"/>
      <c r="GM32" s="672"/>
      <c r="GN32" s="672"/>
      <c r="GO32" s="672"/>
      <c r="GP32" s="672"/>
      <c r="GQ32" s="672"/>
      <c r="GR32" s="672"/>
      <c r="GS32" s="672"/>
      <c r="GT32" s="672"/>
      <c r="GU32" s="672"/>
      <c r="GV32" s="672"/>
      <c r="GW32" s="672"/>
      <c r="GX32" s="672"/>
      <c r="GY32" s="672"/>
      <c r="GZ32" s="672"/>
      <c r="HA32" s="672"/>
      <c r="HB32" s="672"/>
      <c r="HC32" s="672"/>
      <c r="HD32" s="672"/>
      <c r="HE32" s="672"/>
      <c r="HF32" s="672"/>
      <c r="HG32" s="672"/>
      <c r="HH32" s="672"/>
      <c r="HI32" s="672"/>
      <c r="HJ32" s="672"/>
      <c r="HK32" s="672"/>
      <c r="HL32" s="672"/>
      <c r="HM32" s="672"/>
      <c r="HN32" s="672"/>
      <c r="HO32" s="672"/>
      <c r="HP32" s="672"/>
      <c r="HQ32" s="672"/>
      <c r="HR32" s="672"/>
      <c r="HS32" s="672"/>
      <c r="HT32" s="672"/>
      <c r="HU32" s="672"/>
      <c r="HV32" s="672"/>
      <c r="HW32" s="672"/>
      <c r="HX32" s="672"/>
      <c r="HY32" s="672"/>
      <c r="HZ32" s="672"/>
      <c r="IA32" s="672"/>
      <c r="IB32" s="672"/>
      <c r="IC32" s="672"/>
      <c r="ID32" s="672"/>
      <c r="IE32" s="672"/>
      <c r="IF32" s="672"/>
      <c r="IG32" s="672"/>
      <c r="IH32" s="672"/>
      <c r="II32" s="672"/>
      <c r="IJ32" s="672"/>
      <c r="IK32" s="672"/>
      <c r="IL32" s="672"/>
      <c r="IM32" s="672"/>
      <c r="IN32" s="672"/>
      <c r="IO32" s="672"/>
      <c r="IP32" s="672"/>
      <c r="IQ32" s="672"/>
      <c r="IR32" s="672"/>
      <c r="IS32" s="672"/>
      <c r="IT32" s="672"/>
      <c r="IU32" s="672"/>
      <c r="IV32" s="672"/>
      <c r="IW32" s="672"/>
      <c r="IX32" s="672"/>
      <c r="IY32" s="672"/>
      <c r="IZ32" s="672"/>
      <c r="JA32" s="672"/>
      <c r="JB32" s="672"/>
      <c r="JC32" s="672"/>
      <c r="JD32" s="672"/>
      <c r="JE32" s="672"/>
      <c r="JF32" s="672"/>
      <c r="JG32" s="672"/>
      <c r="JH32" s="672"/>
      <c r="JI32" s="672"/>
      <c r="JJ32" s="672"/>
      <c r="JK32" s="672"/>
      <c r="JL32" s="672"/>
      <c r="JM32" s="672"/>
      <c r="JN32" s="672"/>
      <c r="JO32" s="672"/>
      <c r="JP32" s="672"/>
      <c r="JQ32" s="672"/>
      <c r="JR32" s="672"/>
      <c r="JS32" s="672"/>
      <c r="JT32" s="672"/>
      <c r="JU32" s="672"/>
      <c r="JV32" s="672"/>
      <c r="JW32" s="672"/>
      <c r="JX32" s="672"/>
      <c r="JY32" s="672"/>
      <c r="JZ32" s="672"/>
      <c r="KA32" s="672"/>
      <c r="KB32" s="672"/>
      <c r="KC32" s="672"/>
      <c r="KD32" s="672"/>
      <c r="KE32" s="672"/>
      <c r="KF32" s="672"/>
      <c r="KG32" s="672"/>
      <c r="KH32" s="672"/>
      <c r="KI32" s="672"/>
      <c r="KJ32" s="672"/>
      <c r="KK32" s="672"/>
      <c r="KL32" s="672"/>
      <c r="KM32" s="672"/>
      <c r="KN32" s="672"/>
      <c r="KO32" s="672"/>
      <c r="KP32" s="672"/>
      <c r="KQ32" s="672"/>
      <c r="KR32" s="672"/>
      <c r="KS32" s="672"/>
      <c r="KT32" s="672"/>
      <c r="KU32" s="672"/>
      <c r="KV32" s="672"/>
      <c r="KW32" s="672"/>
      <c r="KX32" s="672"/>
      <c r="KY32" s="672"/>
      <c r="KZ32" s="672"/>
      <c r="LA32" s="672"/>
      <c r="LB32" s="672"/>
      <c r="LC32" s="672"/>
      <c r="LD32" s="672"/>
      <c r="LE32" s="672"/>
      <c r="LF32" s="672"/>
      <c r="LG32" s="672"/>
      <c r="LH32" s="672"/>
      <c r="LI32" s="672"/>
      <c r="LJ32" s="672"/>
      <c r="LK32" s="672"/>
      <c r="LL32" s="672"/>
      <c r="LM32" s="672"/>
      <c r="LN32" s="672"/>
      <c r="LO32" s="672"/>
      <c r="LP32" s="672"/>
      <c r="LQ32" s="672"/>
      <c r="LR32" s="672"/>
      <c r="LS32" s="672"/>
      <c r="LT32" s="672"/>
      <c r="LU32" s="672"/>
      <c r="LV32" s="672"/>
      <c r="LW32" s="672"/>
      <c r="LX32" s="672"/>
      <c r="LY32" s="672"/>
      <c r="LZ32" s="672"/>
      <c r="MA32" s="672"/>
      <c r="MB32" s="672"/>
      <c r="MC32" s="672"/>
      <c r="MD32" s="672"/>
      <c r="ME32" s="672"/>
      <c r="MF32" s="672"/>
      <c r="MG32" s="672"/>
      <c r="MH32" s="672"/>
      <c r="MI32" s="672"/>
      <c r="MJ32" s="672"/>
      <c r="MK32" s="672"/>
      <c r="ML32" s="672"/>
      <c r="MM32" s="672"/>
      <c r="MN32" s="672"/>
      <c r="MO32" s="672"/>
      <c r="MP32" s="672"/>
      <c r="MQ32" s="672"/>
      <c r="MR32" s="672"/>
      <c r="MS32" s="672"/>
      <c r="MT32" s="672"/>
      <c r="MU32" s="672"/>
      <c r="MV32" s="672"/>
      <c r="MW32" s="672"/>
      <c r="MX32" s="672"/>
      <c r="MY32" s="672"/>
      <c r="MZ32" s="672"/>
      <c r="NA32" s="672"/>
      <c r="NB32" s="672"/>
      <c r="NC32" s="672"/>
      <c r="ND32" s="672"/>
      <c r="NE32" s="672"/>
      <c r="NF32" s="672"/>
      <c r="NG32" s="672"/>
      <c r="NH32" s="672"/>
      <c r="NI32" s="672"/>
      <c r="NJ32" s="672"/>
      <c r="NK32" s="672"/>
      <c r="NL32" s="672"/>
      <c r="NM32" s="672"/>
      <c r="NN32" s="672"/>
      <c r="NO32" s="672"/>
      <c r="NP32" s="672"/>
      <c r="NQ32" s="672"/>
      <c r="NR32" s="672"/>
      <c r="NS32" s="672"/>
      <c r="NT32" s="672"/>
      <c r="NU32" s="672"/>
      <c r="NV32" s="672"/>
      <c r="NW32" s="672"/>
      <c r="NX32" s="672"/>
      <c r="NY32" s="672"/>
      <c r="NZ32" s="672"/>
      <c r="OA32" s="672"/>
      <c r="OB32" s="672"/>
      <c r="OC32" s="672"/>
      <c r="OD32" s="672"/>
      <c r="OE32" s="672"/>
      <c r="OF32" s="672"/>
      <c r="OG32" s="672"/>
      <c r="OH32" s="672"/>
      <c r="OI32" s="672"/>
      <c r="OJ32" s="672"/>
      <c r="OK32" s="672"/>
      <c r="OL32" s="672"/>
      <c r="OM32" s="672"/>
      <c r="ON32" s="672"/>
      <c r="OO32" s="672"/>
      <c r="OP32" s="672"/>
      <c r="OQ32" s="672"/>
      <c r="OR32" s="672"/>
      <c r="OS32" s="672"/>
      <c r="OT32" s="672"/>
      <c r="OU32" s="672"/>
      <c r="OV32" s="672"/>
      <c r="OW32" s="672"/>
      <c r="OX32" s="672"/>
      <c r="OY32" s="672"/>
      <c r="OZ32" s="672"/>
      <c r="PA32" s="672"/>
      <c r="PB32" s="672"/>
      <c r="PC32" s="672"/>
      <c r="PD32" s="672"/>
      <c r="PE32" s="672"/>
      <c r="PF32" s="672"/>
      <c r="PG32" s="672"/>
      <c r="PH32" s="672"/>
      <c r="PI32" s="672"/>
      <c r="PJ32" s="672"/>
      <c r="PK32" s="672"/>
      <c r="PL32" s="672"/>
      <c r="PM32" s="672"/>
      <c r="PN32" s="672"/>
      <c r="PO32" s="672"/>
      <c r="PP32" s="672"/>
      <c r="PQ32" s="672"/>
      <c r="PR32" s="672"/>
      <c r="PS32" s="672"/>
      <c r="PT32" s="672"/>
      <c r="PU32" s="672"/>
      <c r="PV32" s="672"/>
      <c r="PW32" s="672"/>
      <c r="PX32" s="672"/>
      <c r="PY32" s="672"/>
      <c r="PZ32" s="672"/>
      <c r="QA32" s="672"/>
      <c r="QB32" s="672"/>
      <c r="QC32" s="672"/>
      <c r="QD32" s="672"/>
      <c r="QE32" s="672"/>
      <c r="QF32" s="672"/>
      <c r="QG32" s="672"/>
      <c r="QH32" s="672"/>
      <c r="QI32" s="672"/>
      <c r="QJ32" s="672"/>
      <c r="QK32" s="672"/>
      <c r="QL32" s="672"/>
      <c r="QM32" s="672"/>
      <c r="QN32" s="672"/>
      <c r="QO32" s="672"/>
      <c r="QP32" s="672"/>
      <c r="QQ32" s="672"/>
      <c r="QR32" s="672"/>
      <c r="QS32" s="672"/>
      <c r="QT32" s="672"/>
      <c r="QU32" s="672"/>
      <c r="QV32" s="672"/>
      <c r="QW32" s="672"/>
      <c r="QX32" s="672"/>
      <c r="QY32" s="672"/>
      <c r="QZ32" s="672"/>
      <c r="RA32" s="672"/>
      <c r="RB32" s="672"/>
      <c r="RC32" s="672"/>
      <c r="RD32" s="672"/>
      <c r="RE32" s="672"/>
      <c r="RF32" s="672"/>
      <c r="RG32" s="672"/>
      <c r="RH32" s="672"/>
      <c r="RI32" s="672"/>
      <c r="RJ32" s="672"/>
      <c r="RK32" s="672"/>
      <c r="RL32" s="672"/>
      <c r="RM32" s="672"/>
      <c r="RN32" s="672"/>
      <c r="RO32" s="672"/>
      <c r="RP32" s="672"/>
      <c r="RQ32" s="672"/>
      <c r="RR32" s="672"/>
      <c r="RS32" s="672"/>
      <c r="RT32" s="672"/>
      <c r="RU32" s="672"/>
      <c r="RV32" s="672"/>
      <c r="RW32" s="672"/>
      <c r="RX32" s="672"/>
      <c r="RY32" s="672"/>
      <c r="RZ32" s="672"/>
      <c r="SA32" s="672"/>
      <c r="SB32" s="672"/>
      <c r="SC32" s="672"/>
      <c r="SD32" s="672"/>
      <c r="SE32" s="672"/>
      <c r="SF32" s="672"/>
      <c r="SG32" s="672"/>
      <c r="SH32" s="672"/>
      <c r="SI32" s="672"/>
      <c r="SJ32" s="672"/>
      <c r="SK32" s="672"/>
      <c r="SL32" s="672"/>
      <c r="SM32" s="672"/>
      <c r="SN32" s="672"/>
      <c r="SO32" s="672"/>
      <c r="SP32" s="672"/>
      <c r="SQ32" s="672"/>
      <c r="SR32" s="672"/>
      <c r="SS32" s="672"/>
      <c r="ST32" s="672"/>
      <c r="SU32" s="672"/>
      <c r="SV32" s="672"/>
      <c r="SW32" s="672"/>
      <c r="SX32" s="672"/>
      <c r="SY32" s="672"/>
      <c r="SZ32" s="672"/>
      <c r="TA32" s="672"/>
      <c r="TB32" s="672"/>
      <c r="TC32" s="672"/>
      <c r="TD32" s="672"/>
      <c r="TE32" s="672"/>
      <c r="TF32" s="672"/>
      <c r="TG32" s="672"/>
      <c r="TH32" s="672"/>
      <c r="TI32" s="672"/>
      <c r="TJ32" s="672"/>
      <c r="TK32" s="672"/>
      <c r="TL32" s="672"/>
      <c r="TM32" s="672"/>
      <c r="TN32" s="672"/>
      <c r="TO32" s="672"/>
      <c r="TP32" s="672"/>
      <c r="TQ32" s="672"/>
      <c r="TR32" s="672"/>
      <c r="TS32" s="672"/>
      <c r="TT32" s="672"/>
      <c r="TU32" s="672"/>
      <c r="TV32" s="672"/>
      <c r="TW32" s="672"/>
      <c r="TX32" s="672"/>
      <c r="TY32" s="672"/>
      <c r="TZ32" s="672"/>
      <c r="UA32" s="672"/>
      <c r="UB32" s="672"/>
      <c r="UC32" s="672"/>
      <c r="UD32" s="672"/>
      <c r="UE32" s="672"/>
      <c r="UF32" s="672"/>
      <c r="UG32" s="672"/>
      <c r="UH32" s="672"/>
      <c r="UI32" s="672"/>
      <c r="UJ32" s="672"/>
      <c r="UK32" s="672"/>
      <c r="UL32" s="672"/>
      <c r="UM32" s="672"/>
      <c r="UN32" s="672"/>
      <c r="UO32" s="672"/>
      <c r="UP32" s="672"/>
      <c r="UQ32" s="672"/>
      <c r="UR32" s="672"/>
      <c r="US32" s="672"/>
      <c r="UT32" s="672"/>
      <c r="UU32" s="672"/>
      <c r="UV32" s="672"/>
      <c r="UW32" s="672"/>
      <c r="UX32" s="672"/>
      <c r="UY32" s="672"/>
      <c r="UZ32" s="672"/>
      <c r="VA32" s="672"/>
      <c r="VB32" s="672"/>
      <c r="VC32" s="672"/>
      <c r="VD32" s="672"/>
      <c r="VE32" s="672"/>
      <c r="VF32" s="672"/>
      <c r="VG32" s="672"/>
      <c r="VH32" s="672"/>
      <c r="VI32" s="672"/>
      <c r="VJ32" s="672"/>
      <c r="VK32" s="672"/>
      <c r="VL32" s="672"/>
      <c r="VM32" s="672"/>
      <c r="VN32" s="672"/>
      <c r="VO32" s="672"/>
      <c r="VP32" s="672"/>
      <c r="VQ32" s="672"/>
      <c r="VR32" s="672"/>
      <c r="VS32" s="672"/>
      <c r="VT32" s="672"/>
      <c r="VU32" s="672"/>
      <c r="VV32" s="672"/>
      <c r="VW32" s="672"/>
      <c r="VX32" s="672"/>
      <c r="VY32" s="672"/>
      <c r="VZ32" s="672"/>
      <c r="WA32" s="672"/>
      <c r="WB32" s="672"/>
      <c r="WC32" s="672"/>
      <c r="WD32" s="672"/>
      <c r="WE32" s="672"/>
      <c r="WF32" s="672"/>
      <c r="WG32" s="672"/>
      <c r="WH32" s="672"/>
      <c r="WI32" s="672"/>
      <c r="WJ32" s="672"/>
      <c r="WK32" s="672"/>
      <c r="WL32" s="672"/>
      <c r="WM32" s="672"/>
      <c r="WN32" s="672"/>
      <c r="WO32" s="672"/>
      <c r="WP32" s="672"/>
      <c r="WQ32" s="672"/>
      <c r="WR32" s="672"/>
      <c r="WS32" s="672"/>
      <c r="WT32" s="672"/>
      <c r="WU32" s="672"/>
      <c r="WV32" s="672"/>
      <c r="WW32" s="672"/>
      <c r="WX32" s="672"/>
      <c r="WY32" s="672"/>
      <c r="WZ32" s="672"/>
      <c r="XA32" s="672"/>
      <c r="XB32" s="672"/>
      <c r="XC32" s="672"/>
      <c r="XD32" s="672"/>
      <c r="XE32" s="672"/>
      <c r="XF32" s="672"/>
      <c r="XG32" s="672"/>
      <c r="XH32" s="672"/>
      <c r="XI32" s="672"/>
      <c r="XJ32" s="672"/>
      <c r="XK32" s="672"/>
      <c r="XL32" s="672"/>
      <c r="XM32" s="672"/>
      <c r="XN32" s="672"/>
      <c r="XO32" s="672"/>
      <c r="XP32" s="672"/>
      <c r="XQ32" s="672"/>
      <c r="XR32" s="672"/>
      <c r="XS32" s="672"/>
      <c r="XT32" s="672"/>
      <c r="XU32" s="672"/>
      <c r="XV32" s="672"/>
      <c r="XW32" s="672"/>
      <c r="XX32" s="672"/>
      <c r="XY32" s="672"/>
      <c r="XZ32" s="672"/>
      <c r="YA32" s="672"/>
      <c r="YB32" s="672"/>
      <c r="YC32" s="672"/>
      <c r="YD32" s="672"/>
      <c r="YE32" s="672"/>
      <c r="YF32" s="672"/>
      <c r="YG32" s="672"/>
      <c r="YH32" s="672"/>
      <c r="YI32" s="672"/>
      <c r="YJ32" s="672"/>
      <c r="YK32" s="672"/>
      <c r="YL32" s="672"/>
      <c r="YM32" s="672"/>
      <c r="YN32" s="672"/>
      <c r="YO32" s="672"/>
      <c r="YP32" s="672"/>
      <c r="YQ32" s="672"/>
      <c r="YR32" s="672"/>
      <c r="YS32" s="672"/>
      <c r="YT32" s="672"/>
      <c r="YU32" s="672"/>
      <c r="YV32" s="672"/>
      <c r="YW32" s="672"/>
      <c r="YX32" s="672"/>
      <c r="YY32" s="672"/>
      <c r="YZ32" s="672"/>
      <c r="ZA32" s="672"/>
      <c r="ZB32" s="672"/>
      <c r="ZC32" s="672"/>
      <c r="ZD32" s="672"/>
      <c r="ZE32" s="672"/>
      <c r="ZF32" s="672"/>
      <c r="ZG32" s="672"/>
      <c r="ZH32" s="672"/>
      <c r="ZI32" s="672"/>
      <c r="ZJ32" s="672"/>
      <c r="ZK32" s="672"/>
      <c r="ZL32" s="672"/>
      <c r="ZM32" s="672"/>
      <c r="ZN32" s="672"/>
      <c r="ZO32" s="672"/>
      <c r="ZP32" s="672"/>
      <c r="ZQ32" s="672"/>
      <c r="ZR32" s="672"/>
      <c r="ZS32" s="672"/>
      <c r="ZT32" s="672"/>
      <c r="ZU32" s="672"/>
      <c r="ZV32" s="672"/>
      <c r="ZW32" s="672"/>
      <c r="ZX32" s="672"/>
      <c r="ZY32" s="672"/>
      <c r="ZZ32" s="672"/>
      <c r="AAA32" s="672"/>
      <c r="AAB32" s="672"/>
      <c r="AAC32" s="672"/>
      <c r="AAD32" s="672"/>
      <c r="AAE32" s="672"/>
      <c r="AAF32" s="672"/>
      <c r="AAG32" s="672"/>
      <c r="AAH32" s="672"/>
      <c r="AAI32" s="672"/>
      <c r="AAJ32" s="672"/>
      <c r="AAK32" s="672"/>
      <c r="AAL32" s="672"/>
      <c r="AAM32" s="672"/>
      <c r="AAN32" s="672"/>
      <c r="AAO32" s="672"/>
      <c r="AAP32" s="672"/>
      <c r="AAQ32" s="672"/>
      <c r="AAR32" s="672"/>
      <c r="AAS32" s="672"/>
      <c r="AAT32" s="672"/>
      <c r="AAU32" s="672"/>
      <c r="AAV32" s="672"/>
      <c r="AAW32" s="672"/>
      <c r="AAX32" s="672"/>
      <c r="AAY32" s="672"/>
      <c r="AAZ32" s="672"/>
      <c r="ABA32" s="672"/>
      <c r="ABB32" s="672"/>
      <c r="ABC32" s="672"/>
      <c r="ABD32" s="672"/>
      <c r="ABE32" s="672"/>
      <c r="ABF32" s="672"/>
      <c r="ABG32" s="672"/>
      <c r="ABH32" s="672"/>
      <c r="ABI32" s="672"/>
      <c r="ABJ32" s="672"/>
      <c r="ABK32" s="672"/>
      <c r="ABL32" s="672"/>
      <c r="ABM32" s="672"/>
      <c r="ABN32" s="672"/>
      <c r="ABO32" s="672"/>
      <c r="ABP32" s="672"/>
      <c r="ABQ32" s="672"/>
      <c r="ABR32" s="672"/>
      <c r="ABS32" s="672"/>
      <c r="ABT32" s="672"/>
      <c r="ABU32" s="672"/>
      <c r="ABV32" s="672"/>
      <c r="ABW32" s="672"/>
      <c r="ABX32" s="672"/>
      <c r="ABY32" s="672"/>
      <c r="ABZ32" s="672"/>
      <c r="ACA32" s="672"/>
      <c r="ACB32" s="672"/>
      <c r="ACC32" s="672"/>
      <c r="ACD32" s="672"/>
      <c r="ACE32" s="672"/>
      <c r="ACF32" s="672"/>
      <c r="ACG32" s="672"/>
      <c r="ACH32" s="672"/>
      <c r="ACI32" s="672"/>
      <c r="ACJ32" s="672"/>
      <c r="ACK32" s="672"/>
      <c r="ACL32" s="672"/>
      <c r="ACM32" s="672"/>
      <c r="ACN32" s="672"/>
      <c r="ACO32" s="672"/>
      <c r="ACP32" s="672"/>
      <c r="ACQ32" s="672"/>
      <c r="ACR32" s="672"/>
      <c r="ACS32" s="672"/>
      <c r="ACT32" s="672"/>
      <c r="ACU32" s="672"/>
      <c r="ACV32" s="672"/>
      <c r="ACW32" s="672"/>
      <c r="ACX32" s="672"/>
      <c r="ACY32" s="672"/>
      <c r="ACZ32" s="672"/>
      <c r="ADA32" s="672"/>
      <c r="ADB32" s="672"/>
      <c r="ADC32" s="672"/>
      <c r="ADD32" s="672"/>
      <c r="ADE32" s="672"/>
      <c r="ADF32" s="672"/>
      <c r="ADG32" s="672"/>
      <c r="ADH32" s="672"/>
      <c r="ADI32" s="672"/>
      <c r="ADJ32" s="672"/>
      <c r="ADK32" s="672"/>
      <c r="ADL32" s="672"/>
      <c r="ADM32" s="672"/>
      <c r="ADN32" s="672"/>
      <c r="ADO32" s="672"/>
      <c r="ADP32" s="672"/>
      <c r="ADQ32" s="672"/>
      <c r="ADR32" s="672"/>
      <c r="ADS32" s="672"/>
      <c r="ADT32" s="672"/>
      <c r="ADU32" s="672"/>
      <c r="ADV32" s="672"/>
      <c r="ADW32" s="672"/>
      <c r="ADX32" s="672"/>
      <c r="ADY32" s="672"/>
      <c r="ADZ32" s="672"/>
      <c r="AEA32" s="672"/>
      <c r="AEB32" s="672"/>
      <c r="AEC32" s="672"/>
      <c r="AED32" s="672"/>
      <c r="AEE32" s="672"/>
      <c r="AEF32" s="672"/>
      <c r="AEG32" s="672"/>
      <c r="AEH32" s="672"/>
      <c r="AEI32" s="672"/>
      <c r="AEJ32" s="672"/>
      <c r="AEK32" s="672"/>
      <c r="AEL32" s="672"/>
      <c r="AEM32" s="672"/>
      <c r="AEN32" s="672"/>
      <c r="AEO32" s="672"/>
      <c r="AEP32" s="672"/>
      <c r="AEQ32" s="672"/>
      <c r="AER32" s="672"/>
      <c r="AES32" s="672"/>
      <c r="AET32" s="672"/>
      <c r="AEU32" s="672"/>
      <c r="AEV32" s="672"/>
      <c r="AEW32" s="672"/>
      <c r="AEX32" s="672"/>
      <c r="AEY32" s="672"/>
      <c r="AEZ32" s="672"/>
      <c r="AFA32" s="672"/>
      <c r="AFB32" s="672"/>
      <c r="AFC32" s="672"/>
      <c r="AFD32" s="672"/>
      <c r="AFE32" s="672"/>
      <c r="AFF32" s="672"/>
      <c r="AFG32" s="672"/>
      <c r="AFH32" s="672"/>
      <c r="AFI32" s="672"/>
      <c r="AFJ32" s="672"/>
      <c r="AFK32" s="672"/>
      <c r="AFL32" s="672"/>
      <c r="AFM32" s="672"/>
      <c r="AFN32" s="672"/>
      <c r="AFO32" s="672"/>
      <c r="AFP32" s="672"/>
      <c r="AFQ32" s="672"/>
      <c r="AFR32" s="672"/>
      <c r="AFS32" s="672"/>
      <c r="AFT32" s="672"/>
      <c r="AFU32" s="672"/>
      <c r="AFV32" s="672"/>
      <c r="AFW32" s="672"/>
      <c r="AFX32" s="672"/>
      <c r="AFY32" s="672"/>
      <c r="AFZ32" s="672"/>
      <c r="AGA32" s="672"/>
      <c r="AGB32" s="672"/>
      <c r="AGC32" s="672"/>
      <c r="AGD32" s="672"/>
      <c r="AGE32" s="672"/>
      <c r="AGF32" s="672"/>
      <c r="AGG32" s="672"/>
      <c r="AGH32" s="672"/>
      <c r="AGI32" s="672"/>
      <c r="AGJ32" s="672"/>
      <c r="AGK32" s="672"/>
      <c r="AGL32" s="672"/>
      <c r="AGM32" s="672"/>
      <c r="AGN32" s="672"/>
      <c r="AGO32" s="672"/>
      <c r="AGP32" s="672"/>
      <c r="AGQ32" s="672"/>
      <c r="AGR32" s="672"/>
      <c r="AGS32" s="672"/>
      <c r="AGT32" s="672"/>
      <c r="AGU32" s="672"/>
      <c r="AGV32" s="672"/>
      <c r="AGW32" s="672"/>
      <c r="AGX32" s="672"/>
      <c r="AGY32" s="672"/>
      <c r="AGZ32" s="672"/>
      <c r="AHA32" s="672"/>
      <c r="AHB32" s="672"/>
      <c r="AHC32" s="672"/>
      <c r="AHD32" s="672"/>
      <c r="AHE32" s="672"/>
      <c r="AHF32" s="672"/>
      <c r="AHG32" s="672"/>
      <c r="AHH32" s="672"/>
      <c r="AHI32" s="672"/>
      <c r="AHJ32" s="672"/>
      <c r="AHK32" s="672"/>
      <c r="AHL32" s="672"/>
      <c r="AHM32" s="672"/>
      <c r="AHN32" s="672"/>
      <c r="AHO32" s="672"/>
      <c r="AHP32" s="672"/>
      <c r="AHQ32" s="672"/>
      <c r="AHR32" s="672"/>
      <c r="AHS32" s="672"/>
      <c r="AHT32" s="672"/>
      <c r="AHU32" s="672"/>
      <c r="AHV32" s="672"/>
      <c r="AHW32" s="672"/>
      <c r="AHX32" s="672"/>
      <c r="AHY32" s="672"/>
      <c r="AHZ32" s="672"/>
      <c r="AIA32" s="672"/>
      <c r="AIB32" s="672"/>
      <c r="AIC32" s="672"/>
      <c r="AID32" s="672"/>
      <c r="AIE32" s="672"/>
      <c r="AIF32" s="672"/>
      <c r="AIG32" s="672"/>
      <c r="AIH32" s="672"/>
      <c r="AII32" s="672"/>
      <c r="AIJ32" s="672"/>
      <c r="AIK32" s="672"/>
      <c r="AIL32" s="672"/>
      <c r="AIM32" s="672"/>
      <c r="AIN32" s="672"/>
      <c r="AIO32" s="672"/>
      <c r="AIP32" s="672"/>
      <c r="AIQ32" s="672"/>
      <c r="AIR32" s="672"/>
      <c r="AIS32" s="672"/>
      <c r="AIT32" s="672"/>
      <c r="AIU32" s="672"/>
      <c r="AIV32" s="672"/>
      <c r="AIW32" s="672"/>
      <c r="AIX32" s="672"/>
      <c r="AIY32" s="672"/>
      <c r="AIZ32" s="672"/>
      <c r="AJA32" s="672"/>
      <c r="AJB32" s="672"/>
      <c r="AJC32" s="672"/>
      <c r="AJD32" s="672"/>
      <c r="AJE32" s="672"/>
      <c r="AJF32" s="672"/>
      <c r="AJG32" s="672"/>
      <c r="AJH32" s="672"/>
      <c r="AJI32" s="672"/>
      <c r="AJJ32" s="672"/>
      <c r="AJK32" s="672"/>
      <c r="AJL32" s="672"/>
      <c r="AJM32" s="672"/>
      <c r="AJN32" s="672"/>
      <c r="AJO32" s="672"/>
      <c r="AJP32" s="672"/>
      <c r="AJQ32" s="672"/>
      <c r="AJR32" s="672"/>
      <c r="AJS32" s="672"/>
      <c r="AJT32" s="672"/>
      <c r="AJU32" s="672"/>
      <c r="AJV32" s="672"/>
      <c r="AJW32" s="672"/>
      <c r="AJX32" s="672"/>
      <c r="AJY32" s="672"/>
      <c r="AJZ32" s="672"/>
      <c r="AKA32" s="672"/>
      <c r="AKB32" s="672"/>
      <c r="AKC32" s="672"/>
      <c r="AKD32" s="672"/>
      <c r="AKE32" s="672"/>
      <c r="AKF32" s="672"/>
      <c r="AKG32" s="672"/>
      <c r="AKH32" s="672"/>
      <c r="AKI32" s="672"/>
      <c r="AKJ32" s="672"/>
      <c r="AKK32" s="672"/>
      <c r="AKL32" s="672"/>
      <c r="AKM32" s="672"/>
      <c r="AKN32" s="672"/>
      <c r="AKO32" s="672"/>
      <c r="AKP32" s="672"/>
      <c r="AKQ32" s="672"/>
      <c r="AKR32" s="672"/>
      <c r="AKS32" s="672"/>
      <c r="AKT32" s="672"/>
      <c r="AKU32" s="672"/>
      <c r="AKV32" s="672"/>
      <c r="AKW32" s="672"/>
      <c r="AKX32" s="672"/>
      <c r="AKY32" s="672"/>
      <c r="AKZ32" s="672"/>
      <c r="ALA32" s="672"/>
      <c r="ALB32" s="672"/>
      <c r="ALC32" s="672"/>
      <c r="ALD32" s="672"/>
      <c r="ALE32" s="672"/>
      <c r="ALF32" s="672"/>
      <c r="ALG32" s="672"/>
      <c r="ALH32" s="672"/>
      <c r="ALI32" s="672"/>
      <c r="ALJ32" s="672"/>
      <c r="ALK32" s="672"/>
      <c r="ALL32" s="672"/>
      <c r="ALM32" s="672"/>
      <c r="ALN32" s="672"/>
      <c r="ALO32" s="672"/>
      <c r="ALP32" s="672"/>
      <c r="ALQ32" s="672"/>
      <c r="ALR32" s="672"/>
      <c r="ALS32" s="672"/>
      <c r="ALT32" s="672"/>
      <c r="ALU32" s="672"/>
      <c r="ALV32" s="672"/>
      <c r="ALW32" s="672"/>
      <c r="ALX32" s="672"/>
      <c r="ALY32" s="672"/>
      <c r="ALZ32" s="672"/>
      <c r="AMA32" s="672"/>
      <c r="AMB32" s="672"/>
      <c r="AMC32" s="672"/>
      <c r="AMD32" s="672"/>
      <c r="AME32" s="672"/>
      <c r="AMF32" s="672"/>
      <c r="AMG32" s="672"/>
      <c r="AMH32" s="672"/>
      <c r="AMI32" s="672"/>
      <c r="AMJ32" s="672"/>
      <c r="AMK32" s="672"/>
      <c r="AML32" s="672"/>
      <c r="AMM32" s="672"/>
      <c r="AMN32" s="672"/>
      <c r="AMO32" s="672"/>
      <c r="AMP32" s="672"/>
      <c r="AMQ32" s="672"/>
      <c r="AMR32" s="672"/>
      <c r="AMS32" s="672"/>
      <c r="AMT32" s="672"/>
      <c r="AMU32" s="672"/>
      <c r="AMV32" s="672"/>
      <c r="AMW32" s="672"/>
      <c r="AMX32" s="672"/>
      <c r="AMY32" s="672"/>
      <c r="AMZ32" s="672"/>
      <c r="ANA32" s="672"/>
      <c r="ANB32" s="672"/>
      <c r="ANC32" s="672"/>
      <c r="AND32" s="672"/>
      <c r="ANE32" s="672"/>
      <c r="ANF32" s="672"/>
      <c r="ANG32" s="672"/>
      <c r="ANH32" s="672"/>
      <c r="ANI32" s="672"/>
      <c r="ANJ32" s="672"/>
      <c r="ANK32" s="672"/>
      <c r="ANL32" s="672"/>
      <c r="ANM32" s="672"/>
      <c r="ANN32" s="672"/>
      <c r="ANO32" s="672"/>
      <c r="ANP32" s="672"/>
      <c r="ANQ32" s="672"/>
      <c r="ANR32" s="672"/>
      <c r="ANS32" s="672"/>
      <c r="ANT32" s="672"/>
      <c r="ANU32" s="672"/>
      <c r="ANV32" s="672"/>
      <c r="ANW32" s="672"/>
      <c r="ANX32" s="672"/>
      <c r="ANY32" s="672"/>
      <c r="ANZ32" s="672"/>
      <c r="AOA32" s="672"/>
      <c r="AOB32" s="672"/>
      <c r="AOC32" s="672"/>
      <c r="AOD32" s="672"/>
      <c r="AOE32" s="672"/>
      <c r="AOF32" s="672"/>
      <c r="AOG32" s="672"/>
      <c r="AOH32" s="672"/>
      <c r="AOI32" s="672"/>
      <c r="AOJ32" s="672"/>
      <c r="AOK32" s="672"/>
      <c r="AOL32" s="672"/>
      <c r="AOM32" s="672"/>
      <c r="AON32" s="672"/>
      <c r="AOO32" s="672"/>
      <c r="AOP32" s="672"/>
      <c r="AOQ32" s="672"/>
      <c r="AOR32" s="672"/>
      <c r="AOS32" s="672"/>
      <c r="AOT32" s="672"/>
      <c r="AOU32" s="672"/>
      <c r="AOV32" s="672"/>
      <c r="AOW32" s="672"/>
      <c r="AOX32" s="672"/>
      <c r="AOY32" s="672"/>
      <c r="AOZ32" s="672"/>
      <c r="APA32" s="672"/>
      <c r="APB32" s="672"/>
      <c r="APC32" s="672"/>
      <c r="APD32" s="672"/>
      <c r="APE32" s="672"/>
      <c r="APF32" s="672"/>
      <c r="APG32" s="672"/>
      <c r="APH32" s="672"/>
      <c r="API32" s="672"/>
      <c r="APJ32" s="672"/>
      <c r="APK32" s="672"/>
      <c r="APL32" s="672"/>
      <c r="APM32" s="672"/>
      <c r="APN32" s="672"/>
      <c r="APO32" s="672"/>
      <c r="APP32" s="672"/>
      <c r="APQ32" s="672"/>
      <c r="APR32" s="672"/>
      <c r="APS32" s="672"/>
      <c r="APT32" s="672"/>
      <c r="APU32" s="672"/>
      <c r="APV32" s="672"/>
      <c r="APW32" s="672"/>
      <c r="APX32" s="672"/>
      <c r="APY32" s="672"/>
      <c r="APZ32" s="672"/>
      <c r="AQA32" s="672"/>
      <c r="AQB32" s="672"/>
      <c r="AQC32" s="672"/>
      <c r="AQD32" s="672"/>
      <c r="AQE32" s="672"/>
      <c r="AQF32" s="672"/>
      <c r="AQG32" s="672"/>
      <c r="AQH32" s="672"/>
      <c r="AQI32" s="672"/>
      <c r="AQJ32" s="672"/>
      <c r="AQK32" s="672"/>
      <c r="AQL32" s="672"/>
      <c r="AQM32" s="672"/>
      <c r="AQN32" s="672"/>
      <c r="AQO32" s="672"/>
      <c r="AQP32" s="672"/>
      <c r="AQQ32" s="672"/>
      <c r="AQR32" s="672"/>
      <c r="AQS32" s="672"/>
      <c r="AQT32" s="672"/>
      <c r="AQU32" s="672"/>
      <c r="AQV32" s="672"/>
      <c r="AQW32" s="672"/>
      <c r="AQX32" s="672"/>
      <c r="AQY32" s="672"/>
      <c r="AQZ32" s="672"/>
      <c r="ARA32" s="672"/>
      <c r="ARB32" s="672"/>
      <c r="ARC32" s="672"/>
      <c r="ARD32" s="672"/>
      <c r="ARE32" s="672"/>
      <c r="ARF32" s="672"/>
      <c r="ARG32" s="672"/>
      <c r="ARH32" s="672"/>
      <c r="ARI32" s="672"/>
      <c r="ARJ32" s="672"/>
      <c r="ARK32" s="672"/>
      <c r="ARL32" s="672"/>
      <c r="ARM32" s="672"/>
      <c r="ARN32" s="672"/>
      <c r="ARO32" s="672"/>
      <c r="ARP32" s="672"/>
      <c r="ARQ32" s="672"/>
      <c r="ARR32" s="672"/>
      <c r="ARS32" s="672"/>
      <c r="ART32" s="672"/>
      <c r="ARU32" s="672"/>
      <c r="ARV32" s="672"/>
      <c r="ARW32" s="672"/>
      <c r="ARX32" s="672"/>
      <c r="ARY32" s="672"/>
      <c r="ARZ32" s="672"/>
      <c r="ASA32" s="672"/>
      <c r="ASB32" s="672"/>
      <c r="ASC32" s="672"/>
      <c r="ASD32" s="672"/>
      <c r="ASE32" s="672"/>
      <c r="ASF32" s="672"/>
      <c r="ASG32" s="672"/>
      <c r="ASH32" s="672"/>
      <c r="ASI32" s="672"/>
      <c r="ASJ32" s="672"/>
      <c r="ASK32" s="672"/>
      <c r="ASL32" s="672"/>
      <c r="ASM32" s="672"/>
      <c r="ASN32" s="672"/>
      <c r="ASO32" s="672"/>
      <c r="ASP32" s="672"/>
      <c r="ASQ32" s="672"/>
      <c r="ASR32" s="672"/>
      <c r="ASS32" s="672"/>
      <c r="AST32" s="672"/>
      <c r="ASU32" s="672"/>
      <c r="ASV32" s="672"/>
      <c r="ASW32" s="672"/>
      <c r="ASX32" s="672"/>
      <c r="ASY32" s="672"/>
      <c r="ASZ32" s="672"/>
      <c r="ATA32" s="672"/>
      <c r="ATB32" s="672"/>
      <c r="ATC32" s="672"/>
      <c r="ATD32" s="672"/>
      <c r="ATE32" s="672"/>
      <c r="ATF32" s="672"/>
      <c r="ATG32" s="672"/>
      <c r="ATH32" s="672"/>
      <c r="ATI32" s="672"/>
      <c r="ATJ32" s="672"/>
      <c r="ATK32" s="672"/>
      <c r="ATL32" s="672"/>
      <c r="ATM32" s="672"/>
      <c r="ATN32" s="672"/>
      <c r="ATO32" s="672"/>
      <c r="ATP32" s="672"/>
      <c r="ATQ32" s="672"/>
      <c r="ATR32" s="672"/>
      <c r="ATS32" s="672"/>
      <c r="ATT32" s="672"/>
      <c r="ATU32" s="672"/>
      <c r="ATV32" s="672"/>
      <c r="ATW32" s="672"/>
      <c r="ATX32" s="672"/>
      <c r="ATY32" s="672"/>
      <c r="ATZ32" s="672"/>
      <c r="AUA32" s="672"/>
      <c r="AUB32" s="672"/>
      <c r="AUC32" s="672"/>
      <c r="AUD32" s="672"/>
      <c r="AUE32" s="672"/>
      <c r="AUF32" s="672"/>
      <c r="AUG32" s="672"/>
      <c r="AUH32" s="672"/>
      <c r="AUI32" s="672"/>
      <c r="AUJ32" s="672"/>
      <c r="AUK32" s="672"/>
      <c r="AUL32" s="672"/>
      <c r="AUM32" s="672"/>
      <c r="AUN32" s="672"/>
      <c r="AUO32" s="672"/>
      <c r="AUP32" s="672"/>
      <c r="AUQ32" s="672"/>
      <c r="AUR32" s="672"/>
      <c r="AUS32" s="672"/>
      <c r="AUT32" s="672"/>
      <c r="AUU32" s="672"/>
      <c r="AUV32" s="672"/>
      <c r="AUW32" s="672"/>
      <c r="AUX32" s="672"/>
      <c r="AUY32" s="672"/>
      <c r="AUZ32" s="672"/>
      <c r="AVA32" s="672"/>
      <c r="AVB32" s="672"/>
      <c r="AVC32" s="672"/>
      <c r="AVD32" s="672"/>
      <c r="AVE32" s="672"/>
      <c r="AVF32" s="672"/>
      <c r="AVG32" s="672"/>
      <c r="AVH32" s="672"/>
      <c r="AVI32" s="672"/>
      <c r="AVJ32" s="672"/>
      <c r="AVK32" s="672"/>
      <c r="AVL32" s="672"/>
      <c r="AVM32" s="672"/>
      <c r="AVN32" s="672"/>
      <c r="AVO32" s="672"/>
      <c r="AVP32" s="672"/>
      <c r="AVQ32" s="672"/>
      <c r="AVR32" s="672"/>
      <c r="AVS32" s="672"/>
      <c r="AVT32" s="672"/>
      <c r="AVU32" s="672"/>
      <c r="AVV32" s="672"/>
      <c r="AVW32" s="672"/>
      <c r="AVX32" s="672"/>
      <c r="AVY32" s="672"/>
      <c r="AVZ32" s="672"/>
      <c r="AWA32" s="672"/>
      <c r="AWB32" s="672"/>
      <c r="AWC32" s="672"/>
      <c r="AWD32" s="672"/>
      <c r="AWE32" s="672"/>
      <c r="AWF32" s="672"/>
      <c r="AWG32" s="672"/>
      <c r="AWH32" s="672"/>
      <c r="AWI32" s="672"/>
      <c r="AWJ32" s="672"/>
      <c r="AWK32" s="672"/>
      <c r="AWL32" s="672"/>
      <c r="AWM32" s="672"/>
      <c r="AWN32" s="672"/>
      <c r="AWO32" s="672"/>
      <c r="AWP32" s="672"/>
      <c r="AWQ32" s="672"/>
      <c r="AWR32" s="672"/>
      <c r="AWS32" s="672"/>
      <c r="AWT32" s="672"/>
      <c r="AWU32" s="672"/>
      <c r="AWV32" s="672"/>
      <c r="AWW32" s="672"/>
      <c r="AWX32" s="672"/>
      <c r="AWY32" s="672"/>
      <c r="AWZ32" s="672"/>
      <c r="AXA32" s="672"/>
      <c r="AXB32" s="672"/>
      <c r="AXC32" s="672"/>
      <c r="AXD32" s="672"/>
      <c r="AXE32" s="672"/>
      <c r="AXF32" s="672"/>
      <c r="AXG32" s="672"/>
      <c r="AXH32" s="672"/>
      <c r="AXI32" s="672"/>
      <c r="AXJ32" s="672"/>
      <c r="AXK32" s="672"/>
      <c r="AXL32" s="672"/>
      <c r="AXM32" s="672"/>
      <c r="AXN32" s="672"/>
      <c r="AXO32" s="672"/>
      <c r="AXP32" s="672"/>
      <c r="AXQ32" s="672"/>
      <c r="AXR32" s="672"/>
      <c r="AXS32" s="672"/>
      <c r="AXT32" s="672"/>
      <c r="AXU32" s="672"/>
      <c r="AXV32" s="672"/>
      <c r="AXW32" s="672"/>
      <c r="AXX32" s="672"/>
      <c r="AXY32" s="672"/>
      <c r="AXZ32" s="672"/>
      <c r="AYA32" s="672"/>
      <c r="AYB32" s="672"/>
      <c r="AYC32" s="672"/>
      <c r="AYD32" s="672"/>
      <c r="AYE32" s="672"/>
      <c r="AYF32" s="672"/>
      <c r="AYG32" s="672"/>
      <c r="AYH32" s="672"/>
      <c r="AYI32" s="672"/>
      <c r="AYJ32" s="672"/>
      <c r="AYK32" s="672"/>
      <c r="AYL32" s="672"/>
      <c r="AYM32" s="672"/>
      <c r="AYN32" s="672"/>
      <c r="AYO32" s="672"/>
      <c r="AYP32" s="672"/>
      <c r="AYQ32" s="672"/>
      <c r="AYR32" s="672"/>
      <c r="AYS32" s="672"/>
      <c r="AYT32" s="672"/>
      <c r="AYU32" s="672"/>
      <c r="AYV32" s="672"/>
      <c r="AYW32" s="672"/>
      <c r="AYX32" s="672"/>
      <c r="AYY32" s="672"/>
      <c r="AYZ32" s="672"/>
      <c r="AZA32" s="672"/>
      <c r="AZB32" s="672"/>
      <c r="AZC32" s="672"/>
      <c r="AZD32" s="672"/>
      <c r="AZE32" s="672"/>
      <c r="AZF32" s="672"/>
      <c r="AZG32" s="672"/>
      <c r="AZH32" s="672"/>
      <c r="AZI32" s="672"/>
      <c r="AZJ32" s="672"/>
      <c r="AZK32" s="672"/>
      <c r="AZL32" s="672"/>
      <c r="AZM32" s="672"/>
      <c r="AZN32" s="672"/>
      <c r="AZO32" s="672"/>
      <c r="AZP32" s="672"/>
      <c r="AZQ32" s="672"/>
      <c r="AZR32" s="672"/>
      <c r="AZS32" s="672"/>
      <c r="AZT32" s="672"/>
      <c r="AZU32" s="672"/>
      <c r="AZV32" s="672"/>
      <c r="AZW32" s="672"/>
      <c r="AZX32" s="672"/>
      <c r="AZY32" s="672"/>
      <c r="AZZ32" s="672"/>
      <c r="BAA32" s="672"/>
      <c r="BAB32" s="672"/>
      <c r="BAC32" s="672"/>
      <c r="BAD32" s="672"/>
      <c r="BAE32" s="672"/>
      <c r="BAF32" s="672"/>
      <c r="BAG32" s="672"/>
      <c r="BAH32" s="672"/>
      <c r="BAI32" s="672"/>
      <c r="BAJ32" s="672"/>
      <c r="BAK32" s="672"/>
      <c r="BAL32" s="672"/>
      <c r="BAM32" s="672"/>
      <c r="BAN32" s="672"/>
      <c r="BAO32" s="672"/>
      <c r="BAP32" s="672"/>
      <c r="BAQ32" s="672"/>
      <c r="BAR32" s="672"/>
      <c r="BAS32" s="672"/>
      <c r="BAT32" s="672"/>
      <c r="BAU32" s="672"/>
      <c r="BAV32" s="672"/>
      <c r="BAW32" s="672"/>
      <c r="BAX32" s="672"/>
      <c r="BAY32" s="672"/>
      <c r="BAZ32" s="672"/>
      <c r="BBA32" s="672"/>
      <c r="BBB32" s="672"/>
      <c r="BBC32" s="672"/>
      <c r="BBD32" s="672"/>
      <c r="BBE32" s="672"/>
      <c r="BBF32" s="672"/>
      <c r="BBG32" s="672"/>
      <c r="BBH32" s="672"/>
      <c r="BBI32" s="672"/>
      <c r="BBJ32" s="672"/>
      <c r="BBK32" s="672"/>
      <c r="BBL32" s="672"/>
      <c r="BBM32" s="672"/>
      <c r="BBN32" s="672"/>
      <c r="BBO32" s="672"/>
      <c r="BBP32" s="672"/>
      <c r="BBQ32" s="672"/>
      <c r="BBR32" s="672"/>
      <c r="BBS32" s="672"/>
      <c r="BBT32" s="672"/>
      <c r="BBU32" s="672"/>
      <c r="BBV32" s="672"/>
      <c r="BBW32" s="672"/>
      <c r="BBX32" s="672"/>
      <c r="BBY32" s="672"/>
      <c r="BBZ32" s="672"/>
      <c r="BCA32" s="672"/>
      <c r="BCB32" s="672"/>
      <c r="BCC32" s="672"/>
      <c r="BCD32" s="672"/>
      <c r="BCE32" s="672"/>
      <c r="BCF32" s="672"/>
      <c r="BCG32" s="672"/>
      <c r="BCH32" s="672"/>
      <c r="BCI32" s="672"/>
      <c r="BCJ32" s="672"/>
      <c r="BCK32" s="672"/>
      <c r="BCL32" s="672"/>
      <c r="BCM32" s="672"/>
      <c r="BCN32" s="672"/>
      <c r="BCO32" s="672"/>
      <c r="BCP32" s="672"/>
      <c r="BCQ32" s="672"/>
      <c r="BCR32" s="672"/>
      <c r="BCS32" s="672"/>
      <c r="BCT32" s="672"/>
      <c r="BCU32" s="672"/>
      <c r="BCV32" s="672"/>
      <c r="BCW32" s="672"/>
      <c r="BCX32" s="672"/>
      <c r="BCY32" s="672"/>
      <c r="BCZ32" s="672"/>
      <c r="BDA32" s="672"/>
      <c r="BDB32" s="672"/>
      <c r="BDC32" s="672"/>
      <c r="BDD32" s="672"/>
      <c r="BDE32" s="672"/>
      <c r="BDF32" s="672"/>
      <c r="BDG32" s="672"/>
      <c r="BDH32" s="672"/>
      <c r="BDI32" s="672"/>
      <c r="BDJ32" s="672"/>
      <c r="BDK32" s="672"/>
      <c r="BDL32" s="672"/>
      <c r="BDM32" s="672"/>
      <c r="BDN32" s="672"/>
      <c r="BDO32" s="672"/>
      <c r="BDP32" s="672"/>
      <c r="BDQ32" s="672"/>
      <c r="BDR32" s="672"/>
      <c r="BDS32" s="672"/>
      <c r="BDT32" s="672"/>
      <c r="BDU32" s="672"/>
      <c r="BDV32" s="672"/>
      <c r="BDW32" s="672"/>
      <c r="BDX32" s="672"/>
      <c r="BDY32" s="672"/>
      <c r="BDZ32" s="672"/>
      <c r="BEA32" s="672"/>
      <c r="BEB32" s="672"/>
      <c r="BEC32" s="672"/>
      <c r="BED32" s="672"/>
      <c r="BEE32" s="672"/>
      <c r="BEF32" s="672"/>
      <c r="BEG32" s="672"/>
      <c r="BEH32" s="672"/>
      <c r="BEI32" s="672"/>
      <c r="BEJ32" s="672"/>
      <c r="BEK32" s="672"/>
      <c r="BEL32" s="672"/>
      <c r="BEM32" s="672"/>
      <c r="BEN32" s="672"/>
      <c r="BEO32" s="672"/>
      <c r="BEP32" s="672"/>
      <c r="BEQ32" s="672"/>
      <c r="BER32" s="672"/>
      <c r="BES32" s="672"/>
      <c r="BET32" s="672"/>
      <c r="BEU32" s="672"/>
      <c r="BEV32" s="672"/>
      <c r="BEW32" s="672"/>
      <c r="BEX32" s="672"/>
      <c r="BEY32" s="672"/>
      <c r="BEZ32" s="672"/>
      <c r="BFA32" s="672"/>
      <c r="BFB32" s="672"/>
      <c r="BFC32" s="672"/>
      <c r="BFD32" s="672"/>
      <c r="BFE32" s="672"/>
      <c r="BFF32" s="672"/>
      <c r="BFG32" s="672"/>
      <c r="BFH32" s="672"/>
      <c r="BFI32" s="672"/>
      <c r="BFJ32" s="672"/>
      <c r="BFK32" s="672"/>
      <c r="BFL32" s="672"/>
      <c r="BFM32" s="672"/>
      <c r="BFN32" s="672"/>
      <c r="BFO32" s="672"/>
      <c r="BFP32" s="672"/>
      <c r="BFQ32" s="672"/>
      <c r="BFR32" s="672"/>
      <c r="BFS32" s="672"/>
      <c r="BFT32" s="672"/>
      <c r="BFU32" s="672"/>
      <c r="BFV32" s="672"/>
      <c r="BFW32" s="672"/>
      <c r="BFX32" s="672"/>
      <c r="BFY32" s="672"/>
      <c r="BFZ32" s="672"/>
      <c r="BGA32" s="672"/>
      <c r="BGB32" s="672"/>
      <c r="BGC32" s="672"/>
      <c r="BGD32" s="672"/>
      <c r="BGE32" s="672"/>
      <c r="BGF32" s="672"/>
      <c r="BGG32" s="672"/>
      <c r="BGH32" s="672"/>
      <c r="BGI32" s="672"/>
      <c r="BGJ32" s="672"/>
      <c r="BGK32" s="672"/>
      <c r="BGL32" s="672"/>
      <c r="BGM32" s="672"/>
      <c r="BGN32" s="672"/>
      <c r="BGO32" s="672"/>
      <c r="BGP32" s="672"/>
      <c r="BGQ32" s="672"/>
      <c r="BGR32" s="672"/>
      <c r="BGS32" s="672"/>
      <c r="BGT32" s="672"/>
      <c r="BGU32" s="672"/>
      <c r="BGV32" s="672"/>
      <c r="BGW32" s="672"/>
      <c r="BGX32" s="672"/>
      <c r="BGY32" s="672"/>
      <c r="BGZ32" s="672"/>
      <c r="BHA32" s="672"/>
      <c r="BHB32" s="672"/>
      <c r="BHC32" s="672"/>
      <c r="BHD32" s="672"/>
      <c r="BHE32" s="672"/>
      <c r="BHF32" s="672"/>
      <c r="BHG32" s="672"/>
      <c r="BHH32" s="672"/>
      <c r="BHI32" s="672"/>
      <c r="BHJ32" s="672"/>
      <c r="BHK32" s="672"/>
      <c r="BHL32" s="672"/>
      <c r="BHM32" s="672"/>
      <c r="BHN32" s="672"/>
      <c r="BHO32" s="672"/>
      <c r="BHP32" s="672"/>
      <c r="BHQ32" s="672"/>
      <c r="BHR32" s="672"/>
      <c r="BHS32" s="672"/>
      <c r="BHT32" s="672"/>
      <c r="BHU32" s="672"/>
      <c r="BHV32" s="672"/>
      <c r="BHW32" s="672"/>
      <c r="BHX32" s="672"/>
      <c r="BHY32" s="672"/>
      <c r="BHZ32" s="672"/>
      <c r="BIA32" s="672"/>
      <c r="BIB32" s="672"/>
      <c r="BIC32" s="672"/>
      <c r="BID32" s="672"/>
      <c r="BIE32" s="672"/>
      <c r="BIF32" s="672"/>
      <c r="BIG32" s="672"/>
      <c r="BIH32" s="672"/>
      <c r="BII32" s="672"/>
      <c r="BIJ32" s="672"/>
      <c r="BIK32" s="672"/>
      <c r="BIL32" s="672"/>
      <c r="BIM32" s="672"/>
      <c r="BIN32" s="672"/>
      <c r="BIO32" s="672"/>
      <c r="BIP32" s="672"/>
      <c r="BIQ32" s="672"/>
      <c r="BIR32" s="672"/>
      <c r="BIS32" s="672"/>
      <c r="BIT32" s="672"/>
      <c r="BIU32" s="672"/>
      <c r="BIV32" s="672"/>
      <c r="BIW32" s="672"/>
      <c r="BIX32" s="672"/>
      <c r="BIY32" s="672"/>
      <c r="BIZ32" s="672"/>
      <c r="BJA32" s="672"/>
      <c r="BJB32" s="672"/>
      <c r="BJC32" s="672"/>
      <c r="BJD32" s="672"/>
      <c r="BJE32" s="672"/>
      <c r="BJF32" s="672"/>
      <c r="BJG32" s="672"/>
      <c r="BJH32" s="672"/>
      <c r="BJI32" s="672"/>
      <c r="BJJ32" s="672"/>
      <c r="BJK32" s="672"/>
      <c r="BJL32" s="672"/>
      <c r="BJM32" s="672"/>
      <c r="BJN32" s="672"/>
      <c r="BJO32" s="672"/>
      <c r="BJP32" s="672"/>
      <c r="BJQ32" s="672"/>
      <c r="BJR32" s="672"/>
      <c r="BJS32" s="672"/>
      <c r="BJT32" s="672"/>
      <c r="BJU32" s="672"/>
      <c r="BJV32" s="672"/>
      <c r="BJW32" s="672"/>
      <c r="BJX32" s="672"/>
      <c r="BJY32" s="672"/>
      <c r="BJZ32" s="672"/>
      <c r="BKA32" s="672"/>
      <c r="BKB32" s="672"/>
      <c r="BKC32" s="672"/>
      <c r="BKD32" s="672"/>
      <c r="BKE32" s="672"/>
      <c r="BKF32" s="672"/>
      <c r="BKG32" s="672"/>
      <c r="BKH32" s="672"/>
      <c r="BKI32" s="672"/>
      <c r="BKJ32" s="672"/>
      <c r="BKK32" s="672"/>
      <c r="BKL32" s="672"/>
      <c r="BKM32" s="672"/>
      <c r="BKN32" s="672"/>
      <c r="BKO32" s="672"/>
      <c r="BKP32" s="672"/>
      <c r="BKQ32" s="672"/>
      <c r="BKR32" s="672"/>
      <c r="BKS32" s="672"/>
      <c r="BKT32" s="672"/>
      <c r="BKU32" s="672"/>
      <c r="BKV32" s="672"/>
      <c r="BKW32" s="672"/>
      <c r="BKX32" s="672"/>
      <c r="BKY32" s="672"/>
      <c r="BKZ32" s="672"/>
      <c r="BLA32" s="672"/>
      <c r="BLB32" s="672"/>
      <c r="BLC32" s="672"/>
      <c r="BLD32" s="672"/>
      <c r="BLE32" s="672"/>
      <c r="BLF32" s="672"/>
      <c r="BLG32" s="672"/>
      <c r="BLH32" s="672"/>
      <c r="BLI32" s="672"/>
      <c r="BLJ32" s="672"/>
      <c r="BLK32" s="672"/>
      <c r="BLL32" s="672"/>
      <c r="BLM32" s="672"/>
      <c r="BLN32" s="672"/>
      <c r="BLO32" s="672"/>
      <c r="BLP32" s="672"/>
      <c r="BLQ32" s="672"/>
      <c r="BLR32" s="672"/>
      <c r="BLS32" s="672"/>
      <c r="BLT32" s="672"/>
      <c r="BLU32" s="672"/>
      <c r="BLV32" s="672"/>
      <c r="BLW32" s="672"/>
      <c r="BLX32" s="672"/>
      <c r="BLY32" s="672"/>
      <c r="BLZ32" s="672"/>
      <c r="BMA32" s="672"/>
      <c r="BMB32" s="672"/>
      <c r="BMC32" s="672"/>
      <c r="BMD32" s="672"/>
      <c r="BME32" s="672"/>
      <c r="BMF32" s="672"/>
      <c r="BMG32" s="672"/>
      <c r="BMH32" s="672"/>
      <c r="BMI32" s="672"/>
      <c r="BMJ32" s="672"/>
      <c r="BMK32" s="672"/>
      <c r="BML32" s="672"/>
      <c r="BMM32" s="672"/>
      <c r="BMN32" s="672"/>
      <c r="BMO32" s="672"/>
      <c r="BMP32" s="672"/>
      <c r="BMQ32" s="672"/>
      <c r="BMR32" s="672"/>
      <c r="BMS32" s="672"/>
      <c r="BMT32" s="672"/>
      <c r="BMU32" s="672"/>
      <c r="BMV32" s="672"/>
      <c r="BMW32" s="672"/>
      <c r="BMX32" s="672"/>
      <c r="BMY32" s="672"/>
      <c r="BMZ32" s="672"/>
      <c r="BNA32" s="672"/>
      <c r="BNB32" s="672"/>
      <c r="BNC32" s="672"/>
      <c r="BND32" s="672"/>
      <c r="BNE32" s="672"/>
      <c r="BNF32" s="672"/>
      <c r="BNG32" s="672"/>
      <c r="BNH32" s="672"/>
      <c r="BNI32" s="672"/>
      <c r="BNJ32" s="672"/>
      <c r="BNK32" s="672"/>
      <c r="BNL32" s="672"/>
      <c r="BNM32" s="672"/>
      <c r="BNN32" s="672"/>
      <c r="BNO32" s="672"/>
      <c r="BNP32" s="672"/>
      <c r="BNQ32" s="672"/>
      <c r="BNR32" s="672"/>
      <c r="BNS32" s="672"/>
      <c r="BNT32" s="672"/>
      <c r="BNU32" s="672"/>
      <c r="BNV32" s="672"/>
      <c r="BNW32" s="672"/>
      <c r="BNX32" s="672"/>
      <c r="BNY32" s="672"/>
      <c r="BNZ32" s="672"/>
      <c r="BOA32" s="672"/>
      <c r="BOB32" s="672"/>
      <c r="BOC32" s="672"/>
      <c r="BOD32" s="672"/>
      <c r="BOE32" s="672"/>
      <c r="BOF32" s="672"/>
      <c r="BOG32" s="672"/>
      <c r="BOH32" s="672"/>
      <c r="BOI32" s="672"/>
      <c r="BOJ32" s="672"/>
      <c r="BOK32" s="672"/>
      <c r="BOL32" s="672"/>
      <c r="BOM32" s="672"/>
      <c r="BON32" s="672"/>
      <c r="BOO32" s="672"/>
      <c r="BOP32" s="672"/>
      <c r="BOQ32" s="672"/>
      <c r="BOR32" s="672"/>
      <c r="BOS32" s="672"/>
      <c r="BOT32" s="672"/>
      <c r="BOU32" s="672"/>
      <c r="BOV32" s="672"/>
      <c r="BOW32" s="672"/>
      <c r="BOX32" s="672"/>
      <c r="BOY32" s="672"/>
      <c r="BOZ32" s="672"/>
      <c r="BPA32" s="672"/>
      <c r="BPB32" s="672"/>
      <c r="BPC32" s="672"/>
      <c r="BPD32" s="672"/>
      <c r="BPE32" s="672"/>
      <c r="BPF32" s="672"/>
      <c r="BPG32" s="672"/>
      <c r="BPH32" s="672"/>
      <c r="BPI32" s="672"/>
      <c r="BPJ32" s="672"/>
      <c r="BPK32" s="672"/>
      <c r="BPL32" s="672"/>
      <c r="BPM32" s="672"/>
      <c r="BPN32" s="672"/>
      <c r="BPO32" s="672"/>
      <c r="BPP32" s="672"/>
      <c r="BPQ32" s="672"/>
      <c r="BPR32" s="672"/>
      <c r="BPS32" s="672"/>
      <c r="BPT32" s="672"/>
      <c r="BPU32" s="672"/>
      <c r="BPV32" s="672"/>
      <c r="BPW32" s="672"/>
      <c r="BPX32" s="672"/>
      <c r="BPY32" s="672"/>
      <c r="BPZ32" s="672"/>
      <c r="BQA32" s="672"/>
      <c r="BQB32" s="672"/>
      <c r="BQC32" s="672"/>
      <c r="BQD32" s="672"/>
      <c r="BQE32" s="672"/>
      <c r="BQF32" s="672"/>
      <c r="BQG32" s="672"/>
      <c r="BQH32" s="672"/>
      <c r="BQI32" s="672"/>
      <c r="BQJ32" s="672"/>
      <c r="BQK32" s="672"/>
      <c r="BQL32" s="672"/>
      <c r="BQM32" s="672"/>
      <c r="BQN32" s="672"/>
      <c r="BQO32" s="672"/>
      <c r="BQP32" s="672"/>
      <c r="BQQ32" s="672"/>
      <c r="BQR32" s="672"/>
      <c r="BQS32" s="672"/>
      <c r="BQT32" s="672"/>
      <c r="BQU32" s="672"/>
      <c r="BQV32" s="672"/>
      <c r="BQW32" s="672"/>
      <c r="BQX32" s="672"/>
      <c r="BQY32" s="672"/>
      <c r="BQZ32" s="672"/>
      <c r="BRA32" s="672"/>
      <c r="BRB32" s="672"/>
      <c r="BRC32" s="672"/>
      <c r="BRD32" s="672"/>
      <c r="BRE32" s="672"/>
      <c r="BRF32" s="672"/>
      <c r="BRG32" s="672"/>
      <c r="BRH32" s="672"/>
      <c r="BRI32" s="672"/>
      <c r="BRJ32" s="672"/>
      <c r="BRK32" s="672"/>
      <c r="BRL32" s="672"/>
      <c r="BRM32" s="672"/>
      <c r="BRN32" s="672"/>
      <c r="BRO32" s="672"/>
      <c r="BRP32" s="672"/>
      <c r="BRQ32" s="672"/>
      <c r="BRR32" s="672"/>
      <c r="BRS32" s="672"/>
      <c r="BRT32" s="672"/>
      <c r="BRU32" s="672"/>
      <c r="BRV32" s="672"/>
      <c r="BRW32" s="672"/>
      <c r="BRX32" s="672"/>
      <c r="BRY32" s="672"/>
      <c r="BRZ32" s="672"/>
      <c r="BSA32" s="672"/>
      <c r="BSB32" s="672"/>
      <c r="BSC32" s="672"/>
      <c r="BSD32" s="672"/>
      <c r="BSE32" s="672"/>
      <c r="BSF32" s="672"/>
      <c r="BSG32" s="672"/>
      <c r="BSH32" s="672"/>
      <c r="BSI32" s="672"/>
      <c r="BSJ32" s="672"/>
      <c r="BSK32" s="672"/>
      <c r="BSL32" s="672"/>
      <c r="BSM32" s="672"/>
      <c r="BSN32" s="672"/>
      <c r="BSO32" s="672"/>
      <c r="BSP32" s="672"/>
      <c r="BSQ32" s="672"/>
      <c r="BSR32" s="672"/>
      <c r="BSS32" s="672"/>
      <c r="BST32" s="672"/>
      <c r="BSU32" s="672"/>
      <c r="BSV32" s="672"/>
      <c r="BSW32" s="672"/>
      <c r="BSX32" s="672"/>
      <c r="BSY32" s="672"/>
      <c r="BSZ32" s="672"/>
      <c r="BTA32" s="672"/>
      <c r="BTB32" s="672"/>
      <c r="BTC32" s="672"/>
      <c r="BTD32" s="672"/>
      <c r="BTE32" s="672"/>
      <c r="BTF32" s="672"/>
      <c r="BTG32" s="672"/>
      <c r="BTH32" s="672"/>
      <c r="BTI32" s="672"/>
      <c r="BTJ32" s="672"/>
      <c r="BTK32" s="672"/>
      <c r="BTL32" s="672"/>
      <c r="BTM32" s="672"/>
      <c r="BTN32" s="672"/>
      <c r="BTO32" s="672"/>
      <c r="BTP32" s="672"/>
      <c r="BTQ32" s="672"/>
      <c r="BTR32" s="672"/>
      <c r="BTS32" s="672"/>
      <c r="BTT32" s="672"/>
      <c r="BTU32" s="672"/>
      <c r="BTV32" s="672"/>
      <c r="BTW32" s="672"/>
      <c r="BTX32" s="672"/>
      <c r="BTY32" s="672"/>
      <c r="BTZ32" s="672"/>
      <c r="BUA32" s="672"/>
      <c r="BUB32" s="672"/>
      <c r="BUC32" s="672"/>
      <c r="BUD32" s="672"/>
      <c r="BUE32" s="672"/>
      <c r="BUF32" s="672"/>
      <c r="BUG32" s="672"/>
      <c r="BUH32" s="672"/>
      <c r="BUI32" s="672"/>
      <c r="BUJ32" s="672"/>
      <c r="BUK32" s="672"/>
      <c r="BUL32" s="672"/>
      <c r="BUM32" s="672"/>
      <c r="BUN32" s="672"/>
      <c r="BUO32" s="672"/>
      <c r="BUP32" s="672"/>
      <c r="BUQ32" s="672"/>
      <c r="BUR32" s="672"/>
      <c r="BUS32" s="672"/>
      <c r="BUT32" s="672"/>
      <c r="BUU32" s="672"/>
      <c r="BUV32" s="672"/>
      <c r="BUW32" s="672"/>
      <c r="BUX32" s="672"/>
      <c r="BUY32" s="672"/>
      <c r="BUZ32" s="672"/>
      <c r="BVA32" s="672"/>
      <c r="BVB32" s="672"/>
      <c r="BVC32" s="672"/>
      <c r="BVD32" s="672"/>
      <c r="BVE32" s="672"/>
      <c r="BVF32" s="672"/>
      <c r="BVG32" s="672"/>
      <c r="BVH32" s="672"/>
      <c r="BVI32" s="672"/>
      <c r="BVJ32" s="672"/>
      <c r="BVK32" s="672"/>
      <c r="BVL32" s="672"/>
      <c r="BVM32" s="672"/>
      <c r="BVN32" s="672"/>
      <c r="BVO32" s="672"/>
      <c r="BVP32" s="672"/>
      <c r="BVQ32" s="672"/>
      <c r="BVR32" s="672"/>
      <c r="BVS32" s="672"/>
      <c r="BVT32" s="672"/>
      <c r="BVU32" s="672"/>
      <c r="BVV32" s="672"/>
      <c r="BVW32" s="672"/>
      <c r="BVX32" s="672"/>
      <c r="BVY32" s="672"/>
      <c r="BVZ32" s="672"/>
      <c r="BWA32" s="672"/>
      <c r="BWB32" s="672"/>
      <c r="BWC32" s="672"/>
      <c r="BWD32" s="672"/>
      <c r="BWE32" s="672"/>
      <c r="BWF32" s="672"/>
      <c r="BWG32" s="672"/>
      <c r="BWH32" s="672"/>
      <c r="BWI32" s="672"/>
      <c r="BWJ32" s="672"/>
      <c r="BWK32" s="672"/>
      <c r="BWL32" s="672"/>
      <c r="BWM32" s="672"/>
      <c r="BWN32" s="672"/>
      <c r="BWO32" s="672"/>
      <c r="BWP32" s="672"/>
      <c r="BWQ32" s="672"/>
      <c r="BWR32" s="672"/>
      <c r="BWS32" s="672"/>
      <c r="BWT32" s="672"/>
      <c r="BWU32" s="672"/>
      <c r="BWV32" s="672"/>
      <c r="BWW32" s="672"/>
      <c r="BWX32" s="672"/>
      <c r="BWY32" s="672"/>
      <c r="BWZ32" s="672"/>
      <c r="BXA32" s="672"/>
      <c r="BXB32" s="672"/>
      <c r="BXC32" s="672"/>
      <c r="BXD32" s="672"/>
      <c r="BXE32" s="672"/>
      <c r="BXF32" s="672"/>
      <c r="BXG32" s="672"/>
      <c r="BXH32" s="672"/>
      <c r="BXI32" s="672"/>
      <c r="BXJ32" s="672"/>
      <c r="BXK32" s="672"/>
      <c r="BXL32" s="672"/>
      <c r="BXM32" s="672"/>
      <c r="BXN32" s="672"/>
      <c r="BXO32" s="672"/>
      <c r="BXP32" s="672"/>
      <c r="BXQ32" s="672"/>
      <c r="BXR32" s="672"/>
      <c r="BXS32" s="672"/>
      <c r="BXT32" s="672"/>
      <c r="BXU32" s="672"/>
      <c r="BXV32" s="672"/>
      <c r="BXW32" s="672"/>
      <c r="BXX32" s="672"/>
      <c r="BXY32" s="672"/>
      <c r="BXZ32" s="672"/>
      <c r="BYA32" s="672"/>
      <c r="BYB32" s="672"/>
      <c r="BYC32" s="672"/>
      <c r="BYD32" s="672"/>
      <c r="BYE32" s="672"/>
      <c r="BYF32" s="672"/>
      <c r="BYG32" s="672"/>
      <c r="BYH32" s="672"/>
      <c r="BYI32" s="672"/>
      <c r="BYJ32" s="672"/>
      <c r="BYK32" s="672"/>
      <c r="BYL32" s="672"/>
      <c r="BYM32" s="672"/>
      <c r="BYN32" s="672"/>
      <c r="BYO32" s="672"/>
      <c r="BYP32" s="672"/>
      <c r="BYQ32" s="672"/>
      <c r="BYR32" s="672"/>
      <c r="BYS32" s="672"/>
      <c r="BYT32" s="672"/>
      <c r="BYU32" s="672"/>
      <c r="BYV32" s="672"/>
      <c r="BYW32" s="672"/>
      <c r="BYX32" s="672"/>
      <c r="BYY32" s="672"/>
      <c r="BYZ32" s="672"/>
      <c r="BZA32" s="672"/>
      <c r="BZB32" s="672"/>
      <c r="BZC32" s="672"/>
      <c r="BZD32" s="672"/>
      <c r="BZE32" s="672"/>
      <c r="BZF32" s="672"/>
      <c r="BZG32" s="672"/>
      <c r="BZH32" s="672"/>
      <c r="BZI32" s="672"/>
      <c r="BZJ32" s="672"/>
      <c r="BZK32" s="672"/>
      <c r="BZL32" s="672"/>
      <c r="BZM32" s="672"/>
      <c r="BZN32" s="672"/>
      <c r="BZO32" s="672"/>
      <c r="BZP32" s="672"/>
      <c r="BZQ32" s="672"/>
      <c r="BZR32" s="672"/>
      <c r="BZS32" s="672"/>
      <c r="BZT32" s="672"/>
      <c r="BZU32" s="672"/>
      <c r="BZV32" s="672"/>
      <c r="BZW32" s="672"/>
      <c r="BZX32" s="672"/>
      <c r="BZY32" s="672"/>
      <c r="BZZ32" s="672"/>
      <c r="CAA32" s="672"/>
      <c r="CAB32" s="672"/>
      <c r="CAC32" s="672"/>
      <c r="CAD32" s="672"/>
      <c r="CAE32" s="672"/>
      <c r="CAF32" s="672"/>
      <c r="CAG32" s="672"/>
      <c r="CAH32" s="672"/>
      <c r="CAI32" s="672"/>
      <c r="CAJ32" s="672"/>
      <c r="CAK32" s="672"/>
      <c r="CAL32" s="672"/>
      <c r="CAM32" s="672"/>
      <c r="CAN32" s="672"/>
      <c r="CAO32" s="672"/>
      <c r="CAP32" s="672"/>
      <c r="CAQ32" s="672"/>
      <c r="CAR32" s="672"/>
      <c r="CAS32" s="672"/>
      <c r="CAT32" s="672"/>
      <c r="CAU32" s="672"/>
      <c r="CAV32" s="672"/>
      <c r="CAW32" s="672"/>
      <c r="CAX32" s="672"/>
      <c r="CAY32" s="672"/>
      <c r="CAZ32" s="672"/>
      <c r="CBA32" s="672"/>
      <c r="CBB32" s="672"/>
      <c r="CBC32" s="672"/>
      <c r="CBD32" s="672"/>
      <c r="CBE32" s="672"/>
      <c r="CBF32" s="672"/>
      <c r="CBG32" s="672"/>
      <c r="CBH32" s="672"/>
      <c r="CBI32" s="672"/>
      <c r="CBJ32" s="672"/>
      <c r="CBK32" s="672"/>
      <c r="CBL32" s="672"/>
      <c r="CBM32" s="672"/>
      <c r="CBN32" s="672"/>
      <c r="CBO32" s="672"/>
      <c r="CBP32" s="672"/>
      <c r="CBQ32" s="672"/>
      <c r="CBR32" s="672"/>
      <c r="CBS32" s="672"/>
      <c r="CBT32" s="672"/>
      <c r="CBU32" s="672"/>
      <c r="CBV32" s="672"/>
      <c r="CBW32" s="672"/>
      <c r="CBX32" s="672"/>
      <c r="CBY32" s="672"/>
      <c r="CBZ32" s="672"/>
      <c r="CCA32" s="672"/>
      <c r="CCB32" s="672"/>
      <c r="CCC32" s="672"/>
      <c r="CCD32" s="672"/>
      <c r="CCE32" s="672"/>
      <c r="CCF32" s="672"/>
      <c r="CCG32" s="672"/>
      <c r="CCH32" s="672"/>
      <c r="CCI32" s="672"/>
      <c r="CCJ32" s="672"/>
      <c r="CCK32" s="672"/>
      <c r="CCL32" s="672"/>
      <c r="CCM32" s="672"/>
      <c r="CCN32" s="672"/>
      <c r="CCO32" s="672"/>
      <c r="CCP32" s="672"/>
      <c r="CCQ32" s="672"/>
      <c r="CCR32" s="672"/>
      <c r="CCS32" s="672"/>
      <c r="CCT32" s="672"/>
      <c r="CCU32" s="672"/>
      <c r="CCV32" s="672"/>
      <c r="CCW32" s="672"/>
      <c r="CCX32" s="672"/>
      <c r="CCY32" s="672"/>
      <c r="CCZ32" s="672"/>
      <c r="CDA32" s="672"/>
      <c r="CDB32" s="672"/>
      <c r="CDC32" s="672"/>
      <c r="CDD32" s="672"/>
      <c r="CDE32" s="672"/>
      <c r="CDF32" s="672"/>
      <c r="CDG32" s="672"/>
      <c r="CDH32" s="672"/>
      <c r="CDI32" s="672"/>
      <c r="CDJ32" s="672"/>
      <c r="CDK32" s="672"/>
      <c r="CDL32" s="672"/>
      <c r="CDM32" s="672"/>
      <c r="CDN32" s="672"/>
      <c r="CDO32" s="672"/>
      <c r="CDP32" s="672"/>
      <c r="CDQ32" s="672"/>
      <c r="CDR32" s="672"/>
      <c r="CDS32" s="672"/>
      <c r="CDT32" s="672"/>
      <c r="CDU32" s="672"/>
      <c r="CDV32" s="672"/>
      <c r="CDW32" s="672"/>
      <c r="CDX32" s="672"/>
      <c r="CDY32" s="672"/>
      <c r="CDZ32" s="672"/>
      <c r="CEA32" s="672"/>
      <c r="CEB32" s="672"/>
      <c r="CEC32" s="672"/>
      <c r="CED32" s="672"/>
      <c r="CEE32" s="672"/>
      <c r="CEF32" s="672"/>
      <c r="CEG32" s="672"/>
      <c r="CEH32" s="672"/>
      <c r="CEI32" s="672"/>
      <c r="CEJ32" s="672"/>
      <c r="CEK32" s="672"/>
      <c r="CEL32" s="672"/>
      <c r="CEM32" s="672"/>
      <c r="CEN32" s="672"/>
      <c r="CEO32" s="672"/>
      <c r="CEP32" s="672"/>
      <c r="CEQ32" s="672"/>
      <c r="CER32" s="672"/>
      <c r="CES32" s="672"/>
      <c r="CET32" s="672"/>
      <c r="CEU32" s="672"/>
      <c r="CEV32" s="672"/>
      <c r="CEW32" s="672"/>
      <c r="CEX32" s="672"/>
      <c r="CEY32" s="672"/>
      <c r="CEZ32" s="672"/>
      <c r="CFA32" s="672"/>
      <c r="CFB32" s="672"/>
      <c r="CFC32" s="672"/>
      <c r="CFD32" s="672"/>
      <c r="CFE32" s="672"/>
      <c r="CFF32" s="672"/>
      <c r="CFG32" s="672"/>
      <c r="CFH32" s="672"/>
      <c r="CFI32" s="672"/>
      <c r="CFJ32" s="672"/>
      <c r="CFK32" s="672"/>
      <c r="CFL32" s="672"/>
      <c r="CFM32" s="672"/>
      <c r="CFN32" s="672"/>
      <c r="CFO32" s="672"/>
      <c r="CFP32" s="672"/>
      <c r="CFQ32" s="672"/>
      <c r="CFR32" s="672"/>
      <c r="CFS32" s="672"/>
      <c r="CFT32" s="672"/>
      <c r="CFU32" s="672"/>
      <c r="CFV32" s="672"/>
      <c r="CFW32" s="672"/>
      <c r="CFX32" s="672"/>
      <c r="CFY32" s="672"/>
      <c r="CFZ32" s="672"/>
      <c r="CGA32" s="672"/>
      <c r="CGB32" s="672"/>
      <c r="CGC32" s="672"/>
      <c r="CGD32" s="672"/>
      <c r="CGE32" s="672"/>
      <c r="CGF32" s="672"/>
      <c r="CGG32" s="672"/>
      <c r="CGH32" s="672"/>
      <c r="CGI32" s="672"/>
      <c r="CGJ32" s="672"/>
      <c r="CGK32" s="672"/>
      <c r="CGL32" s="672"/>
      <c r="CGM32" s="672"/>
      <c r="CGN32" s="672"/>
      <c r="CGO32" s="672"/>
      <c r="CGP32" s="672"/>
      <c r="CGQ32" s="672"/>
      <c r="CGR32" s="672"/>
      <c r="CGS32" s="672"/>
      <c r="CGT32" s="672"/>
      <c r="CGU32" s="672"/>
      <c r="CGV32" s="672"/>
      <c r="CGW32" s="672"/>
      <c r="CGX32" s="672"/>
      <c r="CGY32" s="672"/>
      <c r="CGZ32" s="672"/>
      <c r="CHA32" s="672"/>
      <c r="CHB32" s="672"/>
      <c r="CHC32" s="672"/>
      <c r="CHD32" s="672"/>
      <c r="CHE32" s="672"/>
      <c r="CHF32" s="672"/>
      <c r="CHG32" s="672"/>
      <c r="CHH32" s="672"/>
      <c r="CHI32" s="672"/>
      <c r="CHJ32" s="672"/>
      <c r="CHK32" s="672"/>
      <c r="CHL32" s="672"/>
      <c r="CHM32" s="672"/>
      <c r="CHN32" s="672"/>
      <c r="CHO32" s="672"/>
      <c r="CHP32" s="672"/>
      <c r="CHQ32" s="672"/>
      <c r="CHR32" s="672"/>
      <c r="CHS32" s="672"/>
      <c r="CHT32" s="672"/>
      <c r="CHU32" s="672"/>
      <c r="CHV32" s="672"/>
      <c r="CHW32" s="672"/>
      <c r="CHX32" s="672"/>
      <c r="CHY32" s="672"/>
      <c r="CHZ32" s="672"/>
      <c r="CIA32" s="672"/>
      <c r="CIB32" s="672"/>
      <c r="CIC32" s="672"/>
      <c r="CID32" s="672"/>
      <c r="CIE32" s="672"/>
      <c r="CIF32" s="672"/>
      <c r="CIG32" s="672"/>
      <c r="CIH32" s="672"/>
      <c r="CII32" s="672"/>
      <c r="CIJ32" s="672"/>
      <c r="CIK32" s="672"/>
      <c r="CIL32" s="672"/>
      <c r="CIM32" s="672"/>
      <c r="CIN32" s="672"/>
      <c r="CIO32" s="672"/>
      <c r="CIP32" s="672"/>
      <c r="CIQ32" s="672"/>
      <c r="CIR32" s="672"/>
      <c r="CIS32" s="672"/>
      <c r="CIT32" s="672"/>
      <c r="CIU32" s="672"/>
      <c r="CIV32" s="672"/>
      <c r="CIW32" s="672"/>
      <c r="CIX32" s="672"/>
      <c r="CIY32" s="672"/>
      <c r="CIZ32" s="672"/>
      <c r="CJA32" s="672"/>
      <c r="CJB32" s="672"/>
      <c r="CJC32" s="672"/>
      <c r="CJD32" s="672"/>
      <c r="CJE32" s="672"/>
      <c r="CJF32" s="672"/>
      <c r="CJG32" s="672"/>
      <c r="CJH32" s="672"/>
      <c r="CJI32" s="672"/>
      <c r="CJJ32" s="672"/>
      <c r="CJK32" s="672"/>
      <c r="CJL32" s="672"/>
      <c r="CJM32" s="672"/>
      <c r="CJN32" s="672"/>
      <c r="CJO32" s="672"/>
      <c r="CJP32" s="672"/>
      <c r="CJQ32" s="672"/>
      <c r="CJR32" s="672"/>
      <c r="CJS32" s="672"/>
      <c r="CJT32" s="672"/>
      <c r="CJU32" s="672"/>
      <c r="CJV32" s="672"/>
      <c r="CJW32" s="672"/>
      <c r="CJX32" s="672"/>
      <c r="CJY32" s="672"/>
      <c r="CJZ32" s="672"/>
      <c r="CKA32" s="672"/>
      <c r="CKB32" s="672"/>
      <c r="CKC32" s="672"/>
      <c r="CKD32" s="672"/>
      <c r="CKE32" s="672"/>
      <c r="CKF32" s="672"/>
      <c r="CKG32" s="672"/>
      <c r="CKH32" s="672"/>
      <c r="CKI32" s="672"/>
      <c r="CKJ32" s="672"/>
      <c r="CKK32" s="672"/>
      <c r="CKL32" s="672"/>
      <c r="CKM32" s="672"/>
      <c r="CKN32" s="672"/>
      <c r="CKO32" s="672"/>
      <c r="CKP32" s="672"/>
      <c r="CKQ32" s="672"/>
      <c r="CKR32" s="672"/>
      <c r="CKS32" s="672"/>
      <c r="CKT32" s="672"/>
      <c r="CKU32" s="672"/>
      <c r="CKV32" s="672"/>
      <c r="CKW32" s="672"/>
      <c r="CKX32" s="672"/>
      <c r="CKY32" s="672"/>
      <c r="CKZ32" s="672"/>
      <c r="CLA32" s="672"/>
      <c r="CLB32" s="672"/>
      <c r="CLC32" s="672"/>
      <c r="CLD32" s="672"/>
      <c r="CLE32" s="672"/>
      <c r="CLF32" s="672"/>
      <c r="CLG32" s="672"/>
      <c r="CLH32" s="672"/>
      <c r="CLI32" s="672"/>
      <c r="CLJ32" s="672"/>
      <c r="CLK32" s="672"/>
      <c r="CLL32" s="672"/>
      <c r="CLM32" s="672"/>
      <c r="CLN32" s="672"/>
      <c r="CLO32" s="672"/>
      <c r="CLP32" s="672"/>
      <c r="CLQ32" s="672"/>
      <c r="CLR32" s="672"/>
      <c r="CLS32" s="672"/>
      <c r="CLT32" s="672"/>
      <c r="CLU32" s="672"/>
      <c r="CLV32" s="672"/>
      <c r="CLW32" s="672"/>
      <c r="CLX32" s="672"/>
      <c r="CLY32" s="672"/>
      <c r="CLZ32" s="672"/>
      <c r="CMA32" s="672"/>
      <c r="CMB32" s="672"/>
      <c r="CMC32" s="672"/>
      <c r="CMD32" s="672"/>
      <c r="CME32" s="672"/>
      <c r="CMF32" s="672"/>
      <c r="CMG32" s="672"/>
      <c r="CMH32" s="672"/>
      <c r="CMI32" s="672"/>
      <c r="CMJ32" s="672"/>
      <c r="CMK32" s="672"/>
      <c r="CML32" s="672"/>
      <c r="CMM32" s="672"/>
      <c r="CMN32" s="672"/>
      <c r="CMO32" s="672"/>
      <c r="CMP32" s="672"/>
      <c r="CMQ32" s="672"/>
      <c r="CMR32" s="672"/>
      <c r="CMS32" s="672"/>
      <c r="CMT32" s="672"/>
      <c r="CMU32" s="672"/>
      <c r="CMV32" s="672"/>
      <c r="CMW32" s="672"/>
      <c r="CMX32" s="672"/>
      <c r="CMY32" s="672"/>
      <c r="CMZ32" s="672"/>
      <c r="CNA32" s="672"/>
      <c r="CNB32" s="672"/>
      <c r="CNC32" s="672"/>
      <c r="CND32" s="672"/>
      <c r="CNE32" s="672"/>
      <c r="CNF32" s="672"/>
      <c r="CNG32" s="672"/>
      <c r="CNH32" s="672"/>
      <c r="CNI32" s="672"/>
      <c r="CNJ32" s="672"/>
      <c r="CNK32" s="672"/>
      <c r="CNL32" s="672"/>
      <c r="CNM32" s="672"/>
      <c r="CNN32" s="672"/>
      <c r="CNO32" s="672"/>
      <c r="CNP32" s="672"/>
      <c r="CNQ32" s="672"/>
      <c r="CNR32" s="672"/>
      <c r="CNS32" s="672"/>
      <c r="CNT32" s="672"/>
      <c r="CNU32" s="672"/>
      <c r="CNV32" s="672"/>
      <c r="CNW32" s="672"/>
      <c r="CNX32" s="672"/>
      <c r="CNY32" s="672"/>
      <c r="CNZ32" s="672"/>
      <c r="COA32" s="672"/>
      <c r="COB32" s="672"/>
      <c r="COC32" s="672"/>
      <c r="COD32" s="672"/>
      <c r="COE32" s="672"/>
      <c r="COF32" s="672"/>
      <c r="COG32" s="672"/>
      <c r="COH32" s="672"/>
      <c r="COI32" s="672"/>
      <c r="COJ32" s="672"/>
      <c r="COK32" s="672"/>
      <c r="COL32" s="672"/>
      <c r="COM32" s="672"/>
      <c r="CON32" s="672"/>
      <c r="COO32" s="672"/>
      <c r="COP32" s="672"/>
      <c r="COQ32" s="672"/>
      <c r="COR32" s="672"/>
      <c r="COS32" s="672"/>
      <c r="COT32" s="672"/>
      <c r="COU32" s="672"/>
      <c r="COV32" s="672"/>
      <c r="COW32" s="672"/>
      <c r="COX32" s="672"/>
      <c r="COY32" s="672"/>
      <c r="COZ32" s="672"/>
      <c r="CPA32" s="672"/>
      <c r="CPB32" s="672"/>
      <c r="CPC32" s="672"/>
      <c r="CPD32" s="672"/>
      <c r="CPE32" s="672"/>
      <c r="CPF32" s="672"/>
      <c r="CPG32" s="672"/>
      <c r="CPH32" s="672"/>
      <c r="CPI32" s="672"/>
      <c r="CPJ32" s="672"/>
      <c r="CPK32" s="672"/>
      <c r="CPL32" s="672"/>
      <c r="CPM32" s="672"/>
      <c r="CPN32" s="672"/>
      <c r="CPO32" s="672"/>
      <c r="CPP32" s="672"/>
      <c r="CPQ32" s="672"/>
      <c r="CPR32" s="672"/>
      <c r="CPS32" s="672"/>
      <c r="CPT32" s="672"/>
      <c r="CPU32" s="672"/>
      <c r="CPV32" s="672"/>
      <c r="CPW32" s="672"/>
      <c r="CPX32" s="672"/>
      <c r="CPY32" s="672"/>
      <c r="CPZ32" s="672"/>
      <c r="CQA32" s="672"/>
      <c r="CQB32" s="672"/>
      <c r="CQC32" s="672"/>
      <c r="CQD32" s="672"/>
      <c r="CQE32" s="672"/>
      <c r="CQF32" s="672"/>
      <c r="CQG32" s="672"/>
      <c r="CQH32" s="672"/>
      <c r="CQI32" s="672"/>
      <c r="CQJ32" s="672"/>
      <c r="CQK32" s="672"/>
      <c r="CQL32" s="672"/>
      <c r="CQM32" s="672"/>
      <c r="CQN32" s="672"/>
      <c r="CQO32" s="672"/>
      <c r="CQP32" s="672"/>
      <c r="CQQ32" s="672"/>
      <c r="CQR32" s="672"/>
      <c r="CQS32" s="672"/>
      <c r="CQT32" s="672"/>
      <c r="CQU32" s="672"/>
      <c r="CQV32" s="672"/>
      <c r="CQW32" s="672"/>
      <c r="CQX32" s="672"/>
      <c r="CQY32" s="672"/>
      <c r="CQZ32" s="672"/>
      <c r="CRA32" s="672"/>
      <c r="CRB32" s="672"/>
      <c r="CRC32" s="672"/>
      <c r="CRD32" s="672"/>
      <c r="CRE32" s="672"/>
      <c r="CRF32" s="672"/>
      <c r="CRG32" s="672"/>
      <c r="CRH32" s="672"/>
      <c r="CRI32" s="672"/>
      <c r="CRJ32" s="672"/>
      <c r="CRK32" s="672"/>
      <c r="CRL32" s="672"/>
      <c r="CRM32" s="672"/>
      <c r="CRN32" s="672"/>
      <c r="CRO32" s="672"/>
      <c r="CRP32" s="672"/>
      <c r="CRQ32" s="672"/>
      <c r="CRR32" s="672"/>
      <c r="CRS32" s="672"/>
      <c r="CRT32" s="672"/>
      <c r="CRU32" s="672"/>
      <c r="CRV32" s="672"/>
      <c r="CRW32" s="672"/>
      <c r="CRX32" s="672"/>
      <c r="CRY32" s="672"/>
      <c r="CRZ32" s="672"/>
      <c r="CSA32" s="672"/>
      <c r="CSB32" s="672"/>
      <c r="CSC32" s="672"/>
      <c r="CSD32" s="672"/>
      <c r="CSE32" s="672"/>
      <c r="CSF32" s="672"/>
      <c r="CSG32" s="672"/>
      <c r="CSH32" s="672"/>
      <c r="CSI32" s="672"/>
      <c r="CSJ32" s="672"/>
      <c r="CSK32" s="672"/>
      <c r="CSL32" s="672"/>
      <c r="CSM32" s="672"/>
      <c r="CSN32" s="672"/>
      <c r="CSO32" s="672"/>
      <c r="CSP32" s="672"/>
      <c r="CSQ32" s="672"/>
      <c r="CSR32" s="672"/>
      <c r="CSS32" s="672"/>
      <c r="CST32" s="672"/>
      <c r="CSU32" s="672"/>
      <c r="CSV32" s="672"/>
      <c r="CSW32" s="672"/>
      <c r="CSX32" s="672"/>
      <c r="CSY32" s="672"/>
      <c r="CSZ32" s="672"/>
      <c r="CTA32" s="672"/>
      <c r="CTB32" s="672"/>
      <c r="CTC32" s="672"/>
      <c r="CTD32" s="672"/>
      <c r="CTE32" s="672"/>
      <c r="CTF32" s="672"/>
      <c r="CTG32" s="672"/>
      <c r="CTH32" s="672"/>
      <c r="CTI32" s="672"/>
      <c r="CTJ32" s="672"/>
      <c r="CTK32" s="672"/>
      <c r="CTL32" s="672"/>
      <c r="CTM32" s="672"/>
      <c r="CTN32" s="672"/>
      <c r="CTO32" s="672"/>
      <c r="CTP32" s="672"/>
      <c r="CTQ32" s="672"/>
      <c r="CTR32" s="672"/>
      <c r="CTS32" s="672"/>
      <c r="CTT32" s="672"/>
      <c r="CTU32" s="672"/>
      <c r="CTV32" s="672"/>
      <c r="CTW32" s="672"/>
      <c r="CTX32" s="672"/>
      <c r="CTY32" s="672"/>
      <c r="CTZ32" s="672"/>
      <c r="CUA32" s="672"/>
      <c r="CUB32" s="672"/>
      <c r="CUC32" s="672"/>
      <c r="CUD32" s="672"/>
      <c r="CUE32" s="672"/>
      <c r="CUF32" s="672"/>
      <c r="CUG32" s="672"/>
      <c r="CUH32" s="672"/>
      <c r="CUI32" s="672"/>
      <c r="CUJ32" s="672"/>
      <c r="CUK32" s="672"/>
      <c r="CUL32" s="672"/>
      <c r="CUM32" s="672"/>
      <c r="CUN32" s="672"/>
      <c r="CUO32" s="672"/>
      <c r="CUP32" s="672"/>
      <c r="CUQ32" s="672"/>
      <c r="CUR32" s="672"/>
      <c r="CUS32" s="672"/>
      <c r="CUT32" s="672"/>
      <c r="CUU32" s="672"/>
      <c r="CUV32" s="672"/>
      <c r="CUW32" s="672"/>
      <c r="CUX32" s="672"/>
      <c r="CUY32" s="672"/>
      <c r="CUZ32" s="672"/>
      <c r="CVA32" s="672"/>
      <c r="CVB32" s="672"/>
      <c r="CVC32" s="672"/>
      <c r="CVD32" s="672"/>
      <c r="CVE32" s="672"/>
      <c r="CVF32" s="672"/>
      <c r="CVG32" s="672"/>
      <c r="CVH32" s="672"/>
      <c r="CVI32" s="672"/>
      <c r="CVJ32" s="672"/>
      <c r="CVK32" s="672"/>
      <c r="CVL32" s="672"/>
      <c r="CVM32" s="672"/>
      <c r="CVN32" s="672"/>
      <c r="CVO32" s="672"/>
      <c r="CVP32" s="672"/>
      <c r="CVQ32" s="672"/>
      <c r="CVR32" s="672"/>
      <c r="CVS32" s="672"/>
      <c r="CVT32" s="672"/>
      <c r="CVU32" s="672"/>
      <c r="CVV32" s="672"/>
      <c r="CVW32" s="672"/>
      <c r="CVX32" s="672"/>
      <c r="CVY32" s="672"/>
      <c r="CVZ32" s="672"/>
      <c r="CWA32" s="672"/>
      <c r="CWB32" s="672"/>
      <c r="CWC32" s="672"/>
      <c r="CWD32" s="672"/>
      <c r="CWE32" s="672"/>
      <c r="CWF32" s="672"/>
      <c r="CWG32" s="672"/>
      <c r="CWH32" s="672"/>
      <c r="CWI32" s="672"/>
      <c r="CWJ32" s="672"/>
      <c r="CWK32" s="672"/>
      <c r="CWL32" s="672"/>
      <c r="CWM32" s="672"/>
      <c r="CWN32" s="672"/>
      <c r="CWO32" s="672"/>
      <c r="CWP32" s="672"/>
      <c r="CWQ32" s="672"/>
      <c r="CWR32" s="672"/>
      <c r="CWS32" s="672"/>
      <c r="CWT32" s="672"/>
      <c r="CWU32" s="672"/>
      <c r="CWV32" s="672"/>
      <c r="CWW32" s="672"/>
      <c r="CWX32" s="672"/>
      <c r="CWY32" s="672"/>
      <c r="CWZ32" s="672"/>
      <c r="CXA32" s="672"/>
      <c r="CXB32" s="672"/>
      <c r="CXC32" s="672"/>
      <c r="CXD32" s="672"/>
      <c r="CXE32" s="672"/>
      <c r="CXF32" s="672"/>
      <c r="CXG32" s="672"/>
      <c r="CXH32" s="672"/>
      <c r="CXI32" s="672"/>
      <c r="CXJ32" s="672"/>
      <c r="CXK32" s="672"/>
      <c r="CXL32" s="672"/>
      <c r="CXM32" s="672"/>
      <c r="CXN32" s="672"/>
      <c r="CXO32" s="672"/>
      <c r="CXP32" s="672"/>
      <c r="CXQ32" s="672"/>
      <c r="CXR32" s="672"/>
      <c r="CXS32" s="672"/>
      <c r="CXT32" s="672"/>
      <c r="CXU32" s="672"/>
      <c r="CXV32" s="672"/>
      <c r="CXW32" s="672"/>
      <c r="CXX32" s="672"/>
      <c r="CXY32" s="672"/>
      <c r="CXZ32" s="672"/>
      <c r="CYA32" s="672"/>
      <c r="CYB32" s="672"/>
      <c r="CYC32" s="672"/>
      <c r="CYD32" s="672"/>
      <c r="CYE32" s="672"/>
      <c r="CYF32" s="672"/>
      <c r="CYG32" s="672"/>
      <c r="CYH32" s="672"/>
      <c r="CYI32" s="672"/>
      <c r="CYJ32" s="672"/>
      <c r="CYK32" s="672"/>
      <c r="CYL32" s="672"/>
      <c r="CYM32" s="672"/>
      <c r="CYN32" s="672"/>
      <c r="CYO32" s="672"/>
      <c r="CYP32" s="672"/>
      <c r="CYQ32" s="672"/>
      <c r="CYR32" s="672"/>
      <c r="CYS32" s="672"/>
      <c r="CYT32" s="672"/>
      <c r="CYU32" s="672"/>
      <c r="CYV32" s="672"/>
      <c r="CYW32" s="672"/>
      <c r="CYX32" s="672"/>
      <c r="CYY32" s="672"/>
      <c r="CYZ32" s="672"/>
      <c r="CZA32" s="672"/>
      <c r="CZB32" s="672"/>
      <c r="CZC32" s="672"/>
      <c r="CZD32" s="672"/>
      <c r="CZE32" s="672"/>
      <c r="CZF32" s="672"/>
      <c r="CZG32" s="672"/>
      <c r="CZH32" s="672"/>
      <c r="CZI32" s="672"/>
      <c r="CZJ32" s="672"/>
      <c r="CZK32" s="672"/>
      <c r="CZL32" s="672"/>
      <c r="CZM32" s="672"/>
      <c r="CZN32" s="672"/>
      <c r="CZO32" s="672"/>
      <c r="CZP32" s="672"/>
      <c r="CZQ32" s="672"/>
      <c r="CZR32" s="672"/>
      <c r="CZS32" s="672"/>
      <c r="CZT32" s="672"/>
      <c r="CZU32" s="672"/>
      <c r="CZV32" s="672"/>
      <c r="CZW32" s="672"/>
      <c r="CZX32" s="672"/>
      <c r="CZY32" s="672"/>
      <c r="CZZ32" s="672"/>
      <c r="DAA32" s="672"/>
      <c r="DAB32" s="672"/>
      <c r="DAC32" s="672"/>
      <c r="DAD32" s="672"/>
      <c r="DAE32" s="672"/>
      <c r="DAF32" s="672"/>
      <c r="DAG32" s="672"/>
      <c r="DAH32" s="672"/>
      <c r="DAI32" s="672"/>
      <c r="DAJ32" s="672"/>
      <c r="DAK32" s="672"/>
      <c r="DAL32" s="672"/>
      <c r="DAM32" s="672"/>
      <c r="DAN32" s="672"/>
      <c r="DAO32" s="672"/>
      <c r="DAP32" s="672"/>
      <c r="DAQ32" s="672"/>
      <c r="DAR32" s="672"/>
      <c r="DAS32" s="672"/>
      <c r="DAT32" s="672"/>
      <c r="DAU32" s="672"/>
      <c r="DAV32" s="672"/>
      <c r="DAW32" s="672"/>
      <c r="DAX32" s="672"/>
      <c r="DAY32" s="672"/>
      <c r="DAZ32" s="672"/>
      <c r="DBA32" s="672"/>
      <c r="DBB32" s="672"/>
      <c r="DBC32" s="672"/>
      <c r="DBD32" s="672"/>
      <c r="DBE32" s="672"/>
      <c r="DBF32" s="672"/>
      <c r="DBG32" s="672"/>
      <c r="DBH32" s="672"/>
      <c r="DBI32" s="672"/>
      <c r="DBJ32" s="672"/>
      <c r="DBK32" s="672"/>
      <c r="DBL32" s="672"/>
      <c r="DBM32" s="672"/>
      <c r="DBN32" s="672"/>
      <c r="DBO32" s="672"/>
      <c r="DBP32" s="672"/>
      <c r="DBQ32" s="672"/>
      <c r="DBR32" s="672"/>
      <c r="DBS32" s="672"/>
      <c r="DBT32" s="672"/>
      <c r="DBU32" s="672"/>
      <c r="DBV32" s="672"/>
      <c r="DBW32" s="672"/>
      <c r="DBX32" s="672"/>
      <c r="DBY32" s="672"/>
      <c r="DBZ32" s="672"/>
      <c r="DCA32" s="672"/>
      <c r="DCB32" s="672"/>
      <c r="DCC32" s="672"/>
      <c r="DCD32" s="672"/>
      <c r="DCE32" s="672"/>
      <c r="DCF32" s="672"/>
      <c r="DCG32" s="672"/>
      <c r="DCH32" s="672"/>
      <c r="DCI32" s="672"/>
      <c r="DCJ32" s="672"/>
      <c r="DCK32" s="672"/>
      <c r="DCL32" s="672"/>
      <c r="DCM32" s="672"/>
      <c r="DCN32" s="672"/>
      <c r="DCO32" s="672"/>
      <c r="DCP32" s="672"/>
      <c r="DCQ32" s="672"/>
      <c r="DCR32" s="672"/>
      <c r="DCS32" s="672"/>
      <c r="DCT32" s="672"/>
      <c r="DCU32" s="672"/>
      <c r="DCV32" s="672"/>
      <c r="DCW32" s="672"/>
      <c r="DCX32" s="672"/>
      <c r="DCY32" s="672"/>
      <c r="DCZ32" s="672"/>
      <c r="DDA32" s="672"/>
      <c r="DDB32" s="672"/>
      <c r="DDC32" s="672"/>
      <c r="DDD32" s="672"/>
      <c r="DDE32" s="672"/>
      <c r="DDF32" s="672"/>
      <c r="DDG32" s="672"/>
      <c r="DDH32" s="672"/>
      <c r="DDI32" s="672"/>
      <c r="DDJ32" s="672"/>
      <c r="DDK32" s="672"/>
      <c r="DDL32" s="672"/>
      <c r="DDM32" s="672"/>
      <c r="DDN32" s="672"/>
      <c r="DDO32" s="672"/>
      <c r="DDP32" s="672"/>
      <c r="DDQ32" s="672"/>
      <c r="DDR32" s="672"/>
      <c r="DDS32" s="672"/>
      <c r="DDT32" s="672"/>
      <c r="DDU32" s="672"/>
      <c r="DDV32" s="672"/>
      <c r="DDW32" s="672"/>
      <c r="DDX32" s="672"/>
      <c r="DDY32" s="672"/>
      <c r="DDZ32" s="672"/>
      <c r="DEA32" s="672"/>
      <c r="DEB32" s="672"/>
      <c r="DEC32" s="672"/>
      <c r="DED32" s="672"/>
      <c r="DEE32" s="672"/>
      <c r="DEF32" s="672"/>
      <c r="DEG32" s="672"/>
      <c r="DEH32" s="672"/>
      <c r="DEI32" s="672"/>
      <c r="DEJ32" s="672"/>
      <c r="DEK32" s="672"/>
      <c r="DEL32" s="672"/>
      <c r="DEM32" s="672"/>
      <c r="DEN32" s="672"/>
      <c r="DEO32" s="672"/>
      <c r="DEP32" s="672"/>
      <c r="DEQ32" s="672"/>
      <c r="DER32" s="672"/>
      <c r="DES32" s="672"/>
      <c r="DET32" s="672"/>
      <c r="DEU32" s="672"/>
      <c r="DEV32" s="672"/>
      <c r="DEW32" s="672"/>
      <c r="DEX32" s="672"/>
      <c r="DEY32" s="672"/>
      <c r="DEZ32" s="672"/>
      <c r="DFA32" s="672"/>
      <c r="DFB32" s="672"/>
      <c r="DFC32" s="672"/>
      <c r="DFD32" s="672"/>
      <c r="DFE32" s="672"/>
      <c r="DFF32" s="672"/>
      <c r="DFG32" s="672"/>
      <c r="DFH32" s="672"/>
      <c r="DFI32" s="672"/>
      <c r="DFJ32" s="672"/>
      <c r="DFK32" s="672"/>
      <c r="DFL32" s="672"/>
      <c r="DFM32" s="672"/>
      <c r="DFN32" s="672"/>
      <c r="DFO32" s="672"/>
      <c r="DFP32" s="672"/>
      <c r="DFQ32" s="672"/>
      <c r="DFR32" s="672"/>
      <c r="DFS32" s="672"/>
      <c r="DFT32" s="672"/>
      <c r="DFU32" s="672"/>
      <c r="DFV32" s="672"/>
      <c r="DFW32" s="672"/>
      <c r="DFX32" s="672"/>
      <c r="DFY32" s="672"/>
      <c r="DFZ32" s="672"/>
      <c r="DGA32" s="672"/>
      <c r="DGB32" s="672"/>
      <c r="DGC32" s="672"/>
      <c r="DGD32" s="672"/>
      <c r="DGE32" s="672"/>
      <c r="DGF32" s="672"/>
      <c r="DGG32" s="672"/>
      <c r="DGH32" s="672"/>
      <c r="DGI32" s="672"/>
      <c r="DGJ32" s="672"/>
      <c r="DGK32" s="672"/>
      <c r="DGL32" s="672"/>
      <c r="DGM32" s="672"/>
      <c r="DGN32" s="672"/>
      <c r="DGO32" s="672"/>
      <c r="DGP32" s="672"/>
      <c r="DGQ32" s="672"/>
      <c r="DGR32" s="672"/>
      <c r="DGS32" s="672"/>
      <c r="DGT32" s="672"/>
      <c r="DGU32" s="672"/>
      <c r="DGV32" s="672"/>
      <c r="DGW32" s="672"/>
      <c r="DGX32" s="672"/>
      <c r="DGY32" s="672"/>
      <c r="DGZ32" s="672"/>
      <c r="DHA32" s="672"/>
      <c r="DHB32" s="672"/>
      <c r="DHC32" s="672"/>
      <c r="DHD32" s="672"/>
      <c r="DHE32" s="672"/>
      <c r="DHF32" s="672"/>
      <c r="DHG32" s="672"/>
      <c r="DHH32" s="672"/>
      <c r="DHI32" s="672"/>
      <c r="DHJ32" s="672"/>
      <c r="DHK32" s="672"/>
      <c r="DHL32" s="672"/>
      <c r="DHM32" s="672"/>
      <c r="DHN32" s="672"/>
      <c r="DHO32" s="672"/>
      <c r="DHP32" s="672"/>
      <c r="DHQ32" s="672"/>
      <c r="DHR32" s="672"/>
      <c r="DHS32" s="672"/>
      <c r="DHT32" s="672"/>
      <c r="DHU32" s="672"/>
      <c r="DHV32" s="672"/>
      <c r="DHW32" s="672"/>
      <c r="DHX32" s="672"/>
      <c r="DHY32" s="672"/>
      <c r="DHZ32" s="672"/>
      <c r="DIA32" s="672"/>
      <c r="DIB32" s="672"/>
      <c r="DIC32" s="672"/>
      <c r="DID32" s="672"/>
      <c r="DIE32" s="672"/>
      <c r="DIF32" s="672"/>
      <c r="DIG32" s="672"/>
      <c r="DIH32" s="672"/>
      <c r="DII32" s="672"/>
      <c r="DIJ32" s="672"/>
      <c r="DIK32" s="672"/>
      <c r="DIL32" s="672"/>
      <c r="DIM32" s="672"/>
      <c r="DIN32" s="672"/>
      <c r="DIO32" s="672"/>
      <c r="DIP32" s="672"/>
      <c r="DIQ32" s="672"/>
      <c r="DIR32" s="672"/>
      <c r="DIS32" s="672"/>
      <c r="DIT32" s="672"/>
      <c r="DIU32" s="672"/>
      <c r="DIV32" s="672"/>
      <c r="DIW32" s="672"/>
      <c r="DIX32" s="672"/>
      <c r="DIY32" s="672"/>
      <c r="DIZ32" s="672"/>
      <c r="DJA32" s="672"/>
      <c r="DJB32" s="672"/>
      <c r="DJC32" s="672"/>
      <c r="DJD32" s="672"/>
      <c r="DJE32" s="672"/>
      <c r="DJF32" s="672"/>
      <c r="DJG32" s="672"/>
      <c r="DJH32" s="672"/>
      <c r="DJI32" s="672"/>
      <c r="DJJ32" s="672"/>
      <c r="DJK32" s="672"/>
      <c r="DJL32" s="672"/>
      <c r="DJM32" s="672"/>
      <c r="DJN32" s="672"/>
      <c r="DJO32" s="672"/>
      <c r="DJP32" s="672"/>
      <c r="DJQ32" s="672"/>
      <c r="DJR32" s="672"/>
      <c r="DJS32" s="672"/>
      <c r="DJT32" s="672"/>
      <c r="DJU32" s="672"/>
      <c r="DJV32" s="672"/>
      <c r="DJW32" s="672"/>
      <c r="DJX32" s="672"/>
      <c r="DJY32" s="672"/>
      <c r="DJZ32" s="672"/>
      <c r="DKA32" s="672"/>
      <c r="DKB32" s="672"/>
      <c r="DKC32" s="672"/>
      <c r="DKD32" s="672"/>
      <c r="DKE32" s="672"/>
      <c r="DKF32" s="672"/>
      <c r="DKG32" s="672"/>
      <c r="DKH32" s="672"/>
      <c r="DKI32" s="672"/>
      <c r="DKJ32" s="672"/>
      <c r="DKK32" s="672"/>
      <c r="DKL32" s="672"/>
      <c r="DKM32" s="672"/>
      <c r="DKN32" s="672"/>
      <c r="DKO32" s="672"/>
      <c r="DKP32" s="672"/>
      <c r="DKQ32" s="672"/>
      <c r="DKR32" s="672"/>
      <c r="DKS32" s="672"/>
      <c r="DKT32" s="672"/>
      <c r="DKU32" s="672"/>
      <c r="DKV32" s="672"/>
      <c r="DKW32" s="672"/>
      <c r="DKX32" s="672"/>
      <c r="DKY32" s="672"/>
      <c r="DKZ32" s="672"/>
      <c r="DLA32" s="672"/>
      <c r="DLB32" s="672"/>
      <c r="DLC32" s="672"/>
      <c r="DLD32" s="672"/>
      <c r="DLE32" s="672"/>
      <c r="DLF32" s="672"/>
      <c r="DLG32" s="672"/>
      <c r="DLH32" s="672"/>
      <c r="DLI32" s="672"/>
      <c r="DLJ32" s="672"/>
      <c r="DLK32" s="672"/>
      <c r="DLL32" s="672"/>
      <c r="DLM32" s="672"/>
      <c r="DLN32" s="672"/>
      <c r="DLO32" s="672"/>
      <c r="DLP32" s="672"/>
      <c r="DLQ32" s="672"/>
      <c r="DLR32" s="672"/>
      <c r="DLS32" s="672"/>
      <c r="DLT32" s="672"/>
      <c r="DLU32" s="672"/>
      <c r="DLV32" s="672"/>
      <c r="DLW32" s="672"/>
      <c r="DLX32" s="672"/>
      <c r="DLY32" s="672"/>
      <c r="DLZ32" s="672"/>
      <c r="DMA32" s="672"/>
      <c r="DMB32" s="672"/>
      <c r="DMC32" s="672"/>
      <c r="DMD32" s="672"/>
      <c r="DME32" s="672"/>
      <c r="DMF32" s="672"/>
      <c r="DMG32" s="672"/>
      <c r="DMH32" s="672"/>
      <c r="DMI32" s="672"/>
      <c r="DMJ32" s="672"/>
      <c r="DMK32" s="672"/>
      <c r="DML32" s="672"/>
      <c r="DMM32" s="672"/>
      <c r="DMN32" s="672"/>
      <c r="DMO32" s="672"/>
      <c r="DMP32" s="672"/>
      <c r="DMQ32" s="672"/>
      <c r="DMR32" s="672"/>
      <c r="DMS32" s="672"/>
      <c r="DMT32" s="672"/>
      <c r="DMU32" s="672"/>
      <c r="DMV32" s="672"/>
      <c r="DMW32" s="672"/>
      <c r="DMX32" s="672"/>
      <c r="DMY32" s="672"/>
      <c r="DMZ32" s="672"/>
      <c r="DNA32" s="672"/>
      <c r="DNB32" s="672"/>
      <c r="DNC32" s="672"/>
      <c r="DND32" s="672"/>
      <c r="DNE32" s="672"/>
      <c r="DNF32" s="672"/>
      <c r="DNG32" s="672"/>
      <c r="DNH32" s="672"/>
      <c r="DNI32" s="672"/>
      <c r="DNJ32" s="672"/>
      <c r="DNK32" s="672"/>
      <c r="DNL32" s="672"/>
      <c r="DNM32" s="672"/>
      <c r="DNN32" s="672"/>
      <c r="DNO32" s="672"/>
      <c r="DNP32" s="672"/>
      <c r="DNQ32" s="672"/>
      <c r="DNR32" s="672"/>
      <c r="DNS32" s="672"/>
      <c r="DNT32" s="672"/>
      <c r="DNU32" s="672"/>
      <c r="DNV32" s="672"/>
      <c r="DNW32" s="672"/>
      <c r="DNX32" s="672"/>
      <c r="DNY32" s="672"/>
      <c r="DNZ32" s="672"/>
      <c r="DOA32" s="672"/>
      <c r="DOB32" s="672"/>
      <c r="DOC32" s="672"/>
      <c r="DOD32" s="672"/>
      <c r="DOE32" s="672"/>
      <c r="DOF32" s="672"/>
      <c r="DOG32" s="672"/>
      <c r="DOH32" s="672"/>
      <c r="DOI32" s="672"/>
      <c r="DOJ32" s="672"/>
      <c r="DOK32" s="672"/>
      <c r="DOL32" s="672"/>
      <c r="DOM32" s="672"/>
      <c r="DON32" s="672"/>
      <c r="DOO32" s="672"/>
      <c r="DOP32" s="672"/>
      <c r="DOQ32" s="672"/>
      <c r="DOR32" s="672"/>
      <c r="DOS32" s="672"/>
      <c r="DOT32" s="672"/>
      <c r="DOU32" s="672"/>
      <c r="DOV32" s="672"/>
      <c r="DOW32" s="672"/>
      <c r="DOX32" s="672"/>
      <c r="DOY32" s="672"/>
      <c r="DOZ32" s="672"/>
      <c r="DPA32" s="672"/>
      <c r="DPB32" s="672"/>
      <c r="DPC32" s="672"/>
      <c r="DPD32" s="672"/>
      <c r="DPE32" s="672"/>
      <c r="DPF32" s="672"/>
      <c r="DPG32" s="672"/>
      <c r="DPH32" s="672"/>
      <c r="DPI32" s="672"/>
      <c r="DPJ32" s="672"/>
      <c r="DPK32" s="672"/>
      <c r="DPL32" s="672"/>
      <c r="DPM32" s="672"/>
      <c r="DPN32" s="672"/>
      <c r="DPO32" s="672"/>
      <c r="DPP32" s="672"/>
      <c r="DPQ32" s="672"/>
      <c r="DPR32" s="672"/>
      <c r="DPS32" s="672"/>
      <c r="DPT32" s="672"/>
      <c r="DPU32" s="672"/>
      <c r="DPV32" s="672"/>
      <c r="DPW32" s="672"/>
      <c r="DPX32" s="672"/>
      <c r="DPY32" s="672"/>
      <c r="DPZ32" s="672"/>
      <c r="DQA32" s="672"/>
      <c r="DQB32" s="672"/>
      <c r="DQC32" s="672"/>
      <c r="DQD32" s="672"/>
      <c r="DQE32" s="672"/>
      <c r="DQF32" s="672"/>
      <c r="DQG32" s="672"/>
      <c r="DQH32" s="672"/>
      <c r="DQI32" s="672"/>
      <c r="DQJ32" s="672"/>
      <c r="DQK32" s="672"/>
      <c r="DQL32" s="672"/>
      <c r="DQM32" s="672"/>
      <c r="DQN32" s="672"/>
      <c r="DQO32" s="672"/>
      <c r="DQP32" s="672"/>
      <c r="DQQ32" s="672"/>
      <c r="DQR32" s="672"/>
      <c r="DQS32" s="672"/>
      <c r="DQT32" s="672"/>
      <c r="DQU32" s="672"/>
      <c r="DQV32" s="672"/>
      <c r="DQW32" s="672"/>
      <c r="DQX32" s="672"/>
      <c r="DQY32" s="672"/>
      <c r="DQZ32" s="672"/>
      <c r="DRA32" s="672"/>
      <c r="DRB32" s="672"/>
      <c r="DRC32" s="672"/>
      <c r="DRD32" s="672"/>
      <c r="DRE32" s="672"/>
      <c r="DRF32" s="672"/>
      <c r="DRG32" s="672"/>
      <c r="DRH32" s="672"/>
      <c r="DRI32" s="672"/>
      <c r="DRJ32" s="672"/>
      <c r="DRK32" s="672"/>
      <c r="DRL32" s="672"/>
      <c r="DRM32" s="672"/>
      <c r="DRN32" s="672"/>
      <c r="DRO32" s="672"/>
      <c r="DRP32" s="672"/>
      <c r="DRQ32" s="672"/>
      <c r="DRR32" s="672"/>
      <c r="DRS32" s="672"/>
      <c r="DRT32" s="672"/>
      <c r="DRU32" s="672"/>
      <c r="DRV32" s="672"/>
      <c r="DRW32" s="672"/>
      <c r="DRX32" s="672"/>
      <c r="DRY32" s="672"/>
      <c r="DRZ32" s="672"/>
      <c r="DSA32" s="672"/>
      <c r="DSB32" s="672"/>
      <c r="DSC32" s="672"/>
      <c r="DSD32" s="672"/>
      <c r="DSE32" s="672"/>
      <c r="DSF32" s="672"/>
      <c r="DSG32" s="672"/>
      <c r="DSH32" s="672"/>
      <c r="DSI32" s="672"/>
      <c r="DSJ32" s="672"/>
      <c r="DSK32" s="672"/>
      <c r="DSL32" s="672"/>
      <c r="DSM32" s="672"/>
      <c r="DSN32" s="672"/>
      <c r="DSO32" s="672"/>
      <c r="DSP32" s="672"/>
      <c r="DSQ32" s="672"/>
      <c r="DSR32" s="672"/>
      <c r="DSS32" s="672"/>
      <c r="DST32" s="672"/>
      <c r="DSU32" s="672"/>
      <c r="DSV32" s="672"/>
      <c r="DSW32" s="672"/>
      <c r="DSX32" s="672"/>
      <c r="DSY32" s="672"/>
      <c r="DSZ32" s="672"/>
      <c r="DTA32" s="672"/>
      <c r="DTB32" s="672"/>
      <c r="DTC32" s="672"/>
      <c r="DTD32" s="672"/>
      <c r="DTE32" s="672"/>
      <c r="DTF32" s="672"/>
      <c r="DTG32" s="672"/>
      <c r="DTH32" s="672"/>
      <c r="DTI32" s="672"/>
      <c r="DTJ32" s="672"/>
      <c r="DTK32" s="672"/>
      <c r="DTL32" s="672"/>
      <c r="DTM32" s="672"/>
      <c r="DTN32" s="672"/>
      <c r="DTO32" s="672"/>
      <c r="DTP32" s="672"/>
      <c r="DTQ32" s="672"/>
      <c r="DTR32" s="672"/>
      <c r="DTS32" s="672"/>
      <c r="DTT32" s="672"/>
      <c r="DTU32" s="672"/>
      <c r="DTV32" s="672"/>
      <c r="DTW32" s="672"/>
      <c r="DTX32" s="672"/>
      <c r="DTY32" s="672"/>
      <c r="DTZ32" s="672"/>
      <c r="DUA32" s="672"/>
      <c r="DUB32" s="672"/>
      <c r="DUC32" s="672"/>
      <c r="DUD32" s="672"/>
      <c r="DUE32" s="672"/>
      <c r="DUF32" s="672"/>
      <c r="DUG32" s="672"/>
      <c r="DUH32" s="672"/>
      <c r="DUI32" s="672"/>
      <c r="DUJ32" s="672"/>
      <c r="DUK32" s="672"/>
      <c r="DUL32" s="672"/>
      <c r="DUM32" s="672"/>
      <c r="DUN32" s="672"/>
      <c r="DUO32" s="672"/>
      <c r="DUP32" s="672"/>
      <c r="DUQ32" s="672"/>
      <c r="DUR32" s="672"/>
      <c r="DUS32" s="672"/>
      <c r="DUT32" s="672"/>
      <c r="DUU32" s="672"/>
      <c r="DUV32" s="672"/>
      <c r="DUW32" s="672"/>
      <c r="DUX32" s="672"/>
      <c r="DUY32" s="672"/>
      <c r="DUZ32" s="672"/>
      <c r="DVA32" s="672"/>
      <c r="DVB32" s="672"/>
      <c r="DVC32" s="672"/>
      <c r="DVD32" s="672"/>
      <c r="DVE32" s="672"/>
      <c r="DVF32" s="672"/>
      <c r="DVG32" s="672"/>
      <c r="DVH32" s="672"/>
      <c r="DVI32" s="672"/>
      <c r="DVJ32" s="672"/>
      <c r="DVK32" s="672"/>
      <c r="DVL32" s="672"/>
      <c r="DVM32" s="672"/>
      <c r="DVN32" s="672"/>
      <c r="DVO32" s="672"/>
      <c r="DVP32" s="672"/>
      <c r="DVQ32" s="672"/>
      <c r="DVR32" s="672"/>
      <c r="DVS32" s="672"/>
      <c r="DVT32" s="672"/>
      <c r="DVU32" s="672"/>
      <c r="DVV32" s="672"/>
      <c r="DVW32" s="672"/>
      <c r="DVX32" s="672"/>
      <c r="DVY32" s="672"/>
      <c r="DVZ32" s="672"/>
      <c r="DWA32" s="672"/>
      <c r="DWB32" s="672"/>
      <c r="DWC32" s="672"/>
      <c r="DWD32" s="672"/>
      <c r="DWE32" s="672"/>
      <c r="DWF32" s="672"/>
      <c r="DWG32" s="672"/>
      <c r="DWH32" s="672"/>
      <c r="DWI32" s="672"/>
      <c r="DWJ32" s="672"/>
      <c r="DWK32" s="672"/>
      <c r="DWL32" s="672"/>
      <c r="DWM32" s="672"/>
      <c r="DWN32" s="672"/>
      <c r="DWO32" s="672"/>
      <c r="DWP32" s="672"/>
      <c r="DWQ32" s="672"/>
      <c r="DWR32" s="672"/>
      <c r="DWS32" s="672"/>
      <c r="DWT32" s="672"/>
      <c r="DWU32" s="672"/>
      <c r="DWV32" s="672"/>
      <c r="DWW32" s="672"/>
      <c r="DWX32" s="672"/>
      <c r="DWY32" s="672"/>
      <c r="DWZ32" s="672"/>
      <c r="DXA32" s="672"/>
      <c r="DXB32" s="672"/>
      <c r="DXC32" s="672"/>
      <c r="DXD32" s="672"/>
      <c r="DXE32" s="672"/>
      <c r="DXF32" s="672"/>
      <c r="DXG32" s="672"/>
      <c r="DXH32" s="672"/>
      <c r="DXI32" s="672"/>
      <c r="DXJ32" s="672"/>
      <c r="DXK32" s="672"/>
      <c r="DXL32" s="672"/>
      <c r="DXM32" s="672"/>
      <c r="DXN32" s="672"/>
      <c r="DXO32" s="672"/>
      <c r="DXP32" s="672"/>
      <c r="DXQ32" s="672"/>
      <c r="DXR32" s="672"/>
      <c r="DXS32" s="672"/>
      <c r="DXT32" s="672"/>
      <c r="DXU32" s="672"/>
      <c r="DXV32" s="672"/>
      <c r="DXW32" s="672"/>
      <c r="DXX32" s="672"/>
      <c r="DXY32" s="672"/>
      <c r="DXZ32" s="672"/>
      <c r="DYA32" s="672"/>
      <c r="DYB32" s="672"/>
      <c r="DYC32" s="672"/>
      <c r="DYD32" s="672"/>
      <c r="DYE32" s="672"/>
      <c r="DYF32" s="672"/>
      <c r="DYG32" s="672"/>
      <c r="DYH32" s="672"/>
      <c r="DYI32" s="672"/>
      <c r="DYJ32" s="672"/>
      <c r="DYK32" s="672"/>
      <c r="DYL32" s="672"/>
      <c r="DYM32" s="672"/>
      <c r="DYN32" s="672"/>
      <c r="DYO32" s="672"/>
      <c r="DYP32" s="672"/>
      <c r="DYQ32" s="672"/>
      <c r="DYR32" s="672"/>
      <c r="DYS32" s="672"/>
      <c r="DYT32" s="672"/>
      <c r="DYU32" s="672"/>
      <c r="DYV32" s="672"/>
      <c r="DYW32" s="672"/>
      <c r="DYX32" s="672"/>
      <c r="DYY32" s="672"/>
      <c r="DYZ32" s="672"/>
      <c r="DZA32" s="672"/>
      <c r="DZB32" s="672"/>
      <c r="DZC32" s="672"/>
      <c r="DZD32" s="672"/>
      <c r="DZE32" s="672"/>
      <c r="DZF32" s="672"/>
      <c r="DZG32" s="672"/>
      <c r="DZH32" s="672"/>
      <c r="DZI32" s="672"/>
      <c r="DZJ32" s="672"/>
      <c r="DZK32" s="672"/>
      <c r="DZL32" s="672"/>
      <c r="DZM32" s="672"/>
      <c r="DZN32" s="672"/>
      <c r="DZO32" s="672"/>
      <c r="DZP32" s="672"/>
      <c r="DZQ32" s="672"/>
      <c r="DZR32" s="672"/>
      <c r="DZS32" s="672"/>
      <c r="DZT32" s="672"/>
      <c r="DZU32" s="672"/>
      <c r="DZV32" s="672"/>
      <c r="DZW32" s="672"/>
      <c r="DZX32" s="672"/>
      <c r="DZY32" s="672"/>
      <c r="DZZ32" s="672"/>
      <c r="EAA32" s="672"/>
      <c r="EAB32" s="672"/>
      <c r="EAC32" s="672"/>
      <c r="EAD32" s="672"/>
      <c r="EAE32" s="672"/>
      <c r="EAF32" s="672"/>
      <c r="EAG32" s="672"/>
      <c r="EAH32" s="672"/>
      <c r="EAI32" s="672"/>
      <c r="EAJ32" s="672"/>
      <c r="EAK32" s="672"/>
      <c r="EAL32" s="672"/>
      <c r="EAM32" s="672"/>
      <c r="EAN32" s="672"/>
      <c r="EAO32" s="672"/>
      <c r="EAP32" s="672"/>
      <c r="EAQ32" s="672"/>
      <c r="EAR32" s="672"/>
      <c r="EAS32" s="672"/>
      <c r="EAT32" s="672"/>
      <c r="EAU32" s="672"/>
      <c r="EAV32" s="672"/>
      <c r="EAW32" s="672"/>
      <c r="EAX32" s="672"/>
      <c r="EAY32" s="672"/>
      <c r="EAZ32" s="672"/>
      <c r="EBA32" s="672"/>
      <c r="EBB32" s="672"/>
      <c r="EBC32" s="672"/>
      <c r="EBD32" s="672"/>
      <c r="EBE32" s="672"/>
      <c r="EBF32" s="672"/>
      <c r="EBG32" s="672"/>
      <c r="EBH32" s="672"/>
      <c r="EBI32" s="672"/>
      <c r="EBJ32" s="672"/>
      <c r="EBK32" s="672"/>
      <c r="EBL32" s="672"/>
      <c r="EBM32" s="672"/>
      <c r="EBN32" s="672"/>
      <c r="EBO32" s="672"/>
      <c r="EBP32" s="672"/>
      <c r="EBQ32" s="672"/>
      <c r="EBR32" s="672"/>
      <c r="EBS32" s="672"/>
      <c r="EBT32" s="672"/>
      <c r="EBU32" s="672"/>
      <c r="EBV32" s="672"/>
      <c r="EBW32" s="672"/>
      <c r="EBX32" s="672"/>
      <c r="EBY32" s="672"/>
      <c r="EBZ32" s="672"/>
      <c r="ECA32" s="672"/>
      <c r="ECB32" s="672"/>
      <c r="ECC32" s="672"/>
      <c r="ECD32" s="672"/>
      <c r="ECE32" s="672"/>
      <c r="ECF32" s="672"/>
      <c r="ECG32" s="672"/>
      <c r="ECH32" s="672"/>
      <c r="ECI32" s="672"/>
      <c r="ECJ32" s="672"/>
      <c r="ECK32" s="672"/>
      <c r="ECL32" s="672"/>
      <c r="ECM32" s="672"/>
      <c r="ECN32" s="672"/>
      <c r="ECO32" s="672"/>
      <c r="ECP32" s="672"/>
      <c r="ECQ32" s="672"/>
      <c r="ECR32" s="672"/>
      <c r="ECS32" s="672"/>
      <c r="ECT32" s="672"/>
      <c r="ECU32" s="672"/>
      <c r="ECV32" s="672"/>
      <c r="ECW32" s="672"/>
      <c r="ECX32" s="672"/>
      <c r="ECY32" s="672"/>
      <c r="ECZ32" s="672"/>
      <c r="EDA32" s="672"/>
      <c r="EDB32" s="672"/>
      <c r="EDC32" s="672"/>
      <c r="EDD32" s="672"/>
      <c r="EDE32" s="672"/>
      <c r="EDF32" s="672"/>
      <c r="EDG32" s="672"/>
      <c r="EDH32" s="672"/>
      <c r="EDI32" s="672"/>
      <c r="EDJ32" s="672"/>
      <c r="EDK32" s="672"/>
      <c r="EDL32" s="672"/>
      <c r="EDM32" s="672"/>
      <c r="EDN32" s="672"/>
      <c r="EDO32" s="672"/>
      <c r="EDP32" s="672"/>
      <c r="EDQ32" s="672"/>
      <c r="EDR32" s="672"/>
      <c r="EDS32" s="672"/>
      <c r="EDT32" s="672"/>
      <c r="EDU32" s="672"/>
      <c r="EDV32" s="672"/>
      <c r="EDW32" s="672"/>
      <c r="EDX32" s="672"/>
      <c r="EDY32" s="672"/>
      <c r="EDZ32" s="672"/>
      <c r="EEA32" s="672"/>
      <c r="EEB32" s="672"/>
      <c r="EEC32" s="672"/>
      <c r="EED32" s="672"/>
      <c r="EEE32" s="672"/>
      <c r="EEF32" s="672"/>
      <c r="EEG32" s="672"/>
      <c r="EEH32" s="672"/>
      <c r="EEI32" s="672"/>
      <c r="EEJ32" s="672"/>
      <c r="EEK32" s="672"/>
      <c r="EEL32" s="672"/>
      <c r="EEM32" s="672"/>
      <c r="EEN32" s="672"/>
      <c r="EEO32" s="672"/>
      <c r="EEP32" s="672"/>
      <c r="EEQ32" s="672"/>
      <c r="EER32" s="672"/>
      <c r="EES32" s="672"/>
      <c r="EET32" s="672"/>
      <c r="EEU32" s="672"/>
      <c r="EEV32" s="672"/>
      <c r="EEW32" s="672"/>
      <c r="EEX32" s="672"/>
      <c r="EEY32" s="672"/>
      <c r="EEZ32" s="672"/>
      <c r="EFA32" s="672"/>
      <c r="EFB32" s="672"/>
      <c r="EFC32" s="672"/>
      <c r="EFD32" s="672"/>
      <c r="EFE32" s="672"/>
      <c r="EFF32" s="672"/>
      <c r="EFG32" s="672"/>
      <c r="EFH32" s="672"/>
      <c r="EFI32" s="672"/>
      <c r="EFJ32" s="672"/>
      <c r="EFK32" s="672"/>
      <c r="EFL32" s="672"/>
      <c r="EFM32" s="672"/>
      <c r="EFN32" s="672"/>
      <c r="EFO32" s="672"/>
      <c r="EFP32" s="672"/>
      <c r="EFQ32" s="672"/>
      <c r="EFR32" s="672"/>
      <c r="EFS32" s="672"/>
      <c r="EFT32" s="672"/>
      <c r="EFU32" s="672"/>
      <c r="EFV32" s="672"/>
      <c r="EFW32" s="672"/>
      <c r="EFX32" s="672"/>
      <c r="EFY32" s="672"/>
      <c r="EFZ32" s="672"/>
      <c r="EGA32" s="672"/>
      <c r="EGB32" s="672"/>
      <c r="EGC32" s="672"/>
      <c r="EGD32" s="672"/>
      <c r="EGE32" s="672"/>
      <c r="EGF32" s="672"/>
      <c r="EGG32" s="672"/>
      <c r="EGH32" s="672"/>
      <c r="EGI32" s="672"/>
      <c r="EGJ32" s="672"/>
      <c r="EGK32" s="672"/>
      <c r="EGL32" s="672"/>
      <c r="EGM32" s="672"/>
      <c r="EGN32" s="672"/>
      <c r="EGO32" s="672"/>
      <c r="EGP32" s="672"/>
      <c r="EGQ32" s="672"/>
      <c r="EGR32" s="672"/>
      <c r="EGS32" s="672"/>
      <c r="EGT32" s="672"/>
      <c r="EGU32" s="672"/>
      <c r="EGV32" s="672"/>
      <c r="EGW32" s="672"/>
      <c r="EGX32" s="672"/>
      <c r="EGY32" s="672"/>
      <c r="EGZ32" s="672"/>
      <c r="EHA32" s="672"/>
      <c r="EHB32" s="672"/>
      <c r="EHC32" s="672"/>
      <c r="EHD32" s="672"/>
      <c r="EHE32" s="672"/>
      <c r="EHF32" s="672"/>
      <c r="EHG32" s="672"/>
      <c r="EHH32" s="672"/>
      <c r="EHI32" s="672"/>
      <c r="EHJ32" s="672"/>
      <c r="EHK32" s="672"/>
      <c r="EHL32" s="672"/>
      <c r="EHM32" s="672"/>
      <c r="EHN32" s="672"/>
      <c r="EHO32" s="672"/>
      <c r="EHP32" s="672"/>
      <c r="EHQ32" s="672"/>
      <c r="EHR32" s="672"/>
      <c r="EHS32" s="672"/>
      <c r="EHT32" s="672"/>
      <c r="EHU32" s="672"/>
      <c r="EHV32" s="672"/>
      <c r="EHW32" s="672"/>
      <c r="EHX32" s="672"/>
      <c r="EHY32" s="672"/>
      <c r="EHZ32" s="672"/>
      <c r="EIA32" s="672"/>
      <c r="EIB32" s="672"/>
      <c r="EIC32" s="672"/>
      <c r="EID32" s="672"/>
      <c r="EIE32" s="672"/>
      <c r="EIF32" s="672"/>
      <c r="EIG32" s="672"/>
      <c r="EIH32" s="672"/>
      <c r="EII32" s="672"/>
      <c r="EIJ32" s="672"/>
      <c r="EIK32" s="672"/>
      <c r="EIL32" s="672"/>
      <c r="EIM32" s="672"/>
      <c r="EIN32" s="672"/>
      <c r="EIO32" s="672"/>
      <c r="EIP32" s="672"/>
      <c r="EIQ32" s="672"/>
      <c r="EIR32" s="672"/>
      <c r="EIS32" s="672"/>
      <c r="EIT32" s="672"/>
      <c r="EIU32" s="672"/>
      <c r="EIV32" s="672"/>
      <c r="EIW32" s="672"/>
      <c r="EIX32" s="672"/>
      <c r="EIY32" s="672"/>
      <c r="EIZ32" s="672"/>
      <c r="EJA32" s="672"/>
      <c r="EJB32" s="672"/>
      <c r="EJC32" s="672"/>
      <c r="EJD32" s="672"/>
      <c r="EJE32" s="672"/>
      <c r="EJF32" s="672"/>
      <c r="EJG32" s="672"/>
      <c r="EJH32" s="672"/>
      <c r="EJI32" s="672"/>
      <c r="EJJ32" s="672"/>
      <c r="EJK32" s="672"/>
      <c r="EJL32" s="672"/>
      <c r="EJM32" s="672"/>
      <c r="EJN32" s="672"/>
      <c r="EJO32" s="672"/>
      <c r="EJP32" s="672"/>
      <c r="EJQ32" s="672"/>
      <c r="EJR32" s="672"/>
      <c r="EJS32" s="672"/>
      <c r="EJT32" s="672"/>
      <c r="EJU32" s="672"/>
      <c r="EJV32" s="672"/>
      <c r="EJW32" s="672"/>
      <c r="EJX32" s="672"/>
      <c r="EJY32" s="672"/>
      <c r="EJZ32" s="672"/>
      <c r="EKA32" s="672"/>
      <c r="EKB32" s="672"/>
      <c r="EKC32" s="672"/>
      <c r="EKD32" s="672"/>
      <c r="EKE32" s="672"/>
      <c r="EKF32" s="672"/>
      <c r="EKG32" s="672"/>
      <c r="EKH32" s="672"/>
      <c r="EKI32" s="672"/>
      <c r="EKJ32" s="672"/>
      <c r="EKK32" s="672"/>
      <c r="EKL32" s="672"/>
      <c r="EKM32" s="672"/>
      <c r="EKN32" s="672"/>
      <c r="EKO32" s="672"/>
      <c r="EKP32" s="672"/>
      <c r="EKQ32" s="672"/>
      <c r="EKR32" s="672"/>
      <c r="EKS32" s="672"/>
      <c r="EKT32" s="672"/>
      <c r="EKU32" s="672"/>
      <c r="EKV32" s="672"/>
      <c r="EKW32" s="672"/>
      <c r="EKX32" s="672"/>
      <c r="EKY32" s="672"/>
      <c r="EKZ32" s="672"/>
      <c r="ELA32" s="672"/>
      <c r="ELB32" s="672"/>
      <c r="ELC32" s="672"/>
      <c r="ELD32" s="672"/>
      <c r="ELE32" s="672"/>
      <c r="ELF32" s="672"/>
      <c r="ELG32" s="672"/>
      <c r="ELH32" s="672"/>
      <c r="ELI32" s="672"/>
      <c r="ELJ32" s="672"/>
      <c r="ELK32" s="672"/>
      <c r="ELL32" s="672"/>
      <c r="ELM32" s="672"/>
      <c r="ELN32" s="672"/>
      <c r="ELO32" s="672"/>
      <c r="ELP32" s="672"/>
      <c r="ELQ32" s="672"/>
      <c r="ELR32" s="672"/>
      <c r="ELS32" s="672"/>
      <c r="ELT32" s="672"/>
      <c r="ELU32" s="672"/>
      <c r="ELV32" s="672"/>
      <c r="ELW32" s="672"/>
      <c r="ELX32" s="672"/>
      <c r="ELY32" s="672"/>
      <c r="ELZ32" s="672"/>
      <c r="EMA32" s="672"/>
      <c r="EMB32" s="672"/>
      <c r="EMC32" s="672"/>
      <c r="EMD32" s="672"/>
      <c r="EME32" s="672"/>
      <c r="EMF32" s="672"/>
      <c r="EMG32" s="672"/>
      <c r="EMH32" s="672"/>
      <c r="EMI32" s="672"/>
      <c r="EMJ32" s="672"/>
      <c r="EMK32" s="672"/>
      <c r="EML32" s="672"/>
      <c r="EMM32" s="672"/>
      <c r="EMN32" s="672"/>
      <c r="EMO32" s="672"/>
      <c r="EMP32" s="672"/>
      <c r="EMQ32" s="672"/>
      <c r="EMR32" s="672"/>
      <c r="EMS32" s="672"/>
      <c r="EMT32" s="672"/>
      <c r="EMU32" s="672"/>
      <c r="EMV32" s="672"/>
      <c r="EMW32" s="672"/>
      <c r="EMX32" s="672"/>
      <c r="EMY32" s="672"/>
      <c r="EMZ32" s="672"/>
      <c r="ENA32" s="672"/>
      <c r="ENB32" s="672"/>
      <c r="ENC32" s="672"/>
      <c r="END32" s="672"/>
      <c r="ENE32" s="672"/>
      <c r="ENF32" s="672"/>
      <c r="ENG32" s="672"/>
      <c r="ENH32" s="672"/>
      <c r="ENI32" s="672"/>
      <c r="ENJ32" s="672"/>
      <c r="ENK32" s="672"/>
      <c r="ENL32" s="672"/>
      <c r="ENM32" s="672"/>
      <c r="ENN32" s="672"/>
      <c r="ENO32" s="672"/>
      <c r="ENP32" s="672"/>
      <c r="ENQ32" s="672"/>
      <c r="ENR32" s="672"/>
      <c r="ENS32" s="672"/>
      <c r="ENT32" s="672"/>
      <c r="ENU32" s="672"/>
      <c r="ENV32" s="672"/>
      <c r="ENW32" s="672"/>
      <c r="ENX32" s="672"/>
      <c r="ENY32" s="672"/>
      <c r="ENZ32" s="672"/>
      <c r="EOA32" s="672"/>
      <c r="EOB32" s="672"/>
      <c r="EOC32" s="672"/>
      <c r="EOD32" s="672"/>
      <c r="EOE32" s="672"/>
      <c r="EOF32" s="672"/>
      <c r="EOG32" s="672"/>
      <c r="EOH32" s="672"/>
      <c r="EOI32" s="672"/>
      <c r="EOJ32" s="672"/>
      <c r="EOK32" s="672"/>
      <c r="EOL32" s="672"/>
      <c r="EOM32" s="672"/>
      <c r="EON32" s="672"/>
      <c r="EOO32" s="672"/>
      <c r="EOP32" s="672"/>
      <c r="EOQ32" s="672"/>
      <c r="EOR32" s="672"/>
      <c r="EOS32" s="672"/>
      <c r="EOT32" s="672"/>
      <c r="EOU32" s="672"/>
      <c r="EOV32" s="672"/>
      <c r="EOW32" s="672"/>
      <c r="EOX32" s="672"/>
      <c r="EOY32" s="672"/>
      <c r="EOZ32" s="672"/>
      <c r="EPA32" s="672"/>
      <c r="EPB32" s="672"/>
      <c r="EPC32" s="672"/>
      <c r="EPD32" s="672"/>
      <c r="EPE32" s="672"/>
      <c r="EPF32" s="672"/>
      <c r="EPG32" s="672"/>
      <c r="EPH32" s="672"/>
      <c r="EPI32" s="672"/>
      <c r="EPJ32" s="672"/>
      <c r="EPK32" s="672"/>
      <c r="EPL32" s="672"/>
      <c r="EPM32" s="672"/>
      <c r="EPN32" s="672"/>
      <c r="EPO32" s="672"/>
      <c r="EPP32" s="672"/>
      <c r="EPQ32" s="672"/>
      <c r="EPR32" s="672"/>
      <c r="EPS32" s="672"/>
      <c r="EPT32" s="672"/>
      <c r="EPU32" s="672"/>
      <c r="EPV32" s="672"/>
      <c r="EPW32" s="672"/>
      <c r="EPX32" s="672"/>
      <c r="EPY32" s="672"/>
      <c r="EPZ32" s="672"/>
      <c r="EQA32" s="672"/>
      <c r="EQB32" s="672"/>
      <c r="EQC32" s="672"/>
      <c r="EQD32" s="672"/>
      <c r="EQE32" s="672"/>
      <c r="EQF32" s="672"/>
      <c r="EQG32" s="672"/>
      <c r="EQH32" s="672"/>
      <c r="EQI32" s="672"/>
      <c r="EQJ32" s="672"/>
      <c r="EQK32" s="672"/>
      <c r="EQL32" s="672"/>
      <c r="EQM32" s="672"/>
      <c r="EQN32" s="672"/>
      <c r="EQO32" s="672"/>
      <c r="EQP32" s="672"/>
      <c r="EQQ32" s="672"/>
      <c r="EQR32" s="672"/>
      <c r="EQS32" s="672"/>
      <c r="EQT32" s="672"/>
      <c r="EQU32" s="672"/>
      <c r="EQV32" s="672"/>
      <c r="EQW32" s="672"/>
      <c r="EQX32" s="672"/>
      <c r="EQY32" s="672"/>
      <c r="EQZ32" s="672"/>
      <c r="ERA32" s="672"/>
      <c r="ERB32" s="672"/>
      <c r="ERC32" s="672"/>
      <c r="ERD32" s="672"/>
      <c r="ERE32" s="672"/>
      <c r="ERF32" s="672"/>
      <c r="ERG32" s="672"/>
      <c r="ERH32" s="672"/>
      <c r="ERI32" s="672"/>
      <c r="ERJ32" s="672"/>
      <c r="ERK32" s="672"/>
      <c r="ERL32" s="672"/>
      <c r="ERM32" s="672"/>
      <c r="ERN32" s="672"/>
      <c r="ERO32" s="672"/>
      <c r="ERP32" s="672"/>
      <c r="ERQ32" s="672"/>
      <c r="ERR32" s="672"/>
      <c r="ERS32" s="672"/>
      <c r="ERT32" s="672"/>
      <c r="ERU32" s="672"/>
      <c r="ERV32" s="672"/>
      <c r="ERW32" s="672"/>
      <c r="ERX32" s="672"/>
      <c r="ERY32" s="672"/>
      <c r="ERZ32" s="672"/>
      <c r="ESA32" s="672"/>
      <c r="ESB32" s="672"/>
      <c r="ESC32" s="672"/>
      <c r="ESD32" s="672"/>
      <c r="ESE32" s="672"/>
      <c r="ESF32" s="672"/>
      <c r="ESG32" s="672"/>
      <c r="ESH32" s="672"/>
      <c r="ESI32" s="672"/>
      <c r="ESJ32" s="672"/>
      <c r="ESK32" s="672"/>
      <c r="ESL32" s="672"/>
      <c r="ESM32" s="672"/>
      <c r="ESN32" s="672"/>
      <c r="ESO32" s="672"/>
      <c r="ESP32" s="672"/>
      <c r="ESQ32" s="672"/>
      <c r="ESR32" s="672"/>
      <c r="ESS32" s="672"/>
      <c r="EST32" s="672"/>
      <c r="ESU32" s="672"/>
      <c r="ESV32" s="672"/>
      <c r="ESW32" s="672"/>
      <c r="ESX32" s="672"/>
      <c r="ESY32" s="672"/>
      <c r="ESZ32" s="672"/>
      <c r="ETA32" s="672"/>
      <c r="ETB32" s="672"/>
      <c r="ETC32" s="672"/>
      <c r="ETD32" s="672"/>
      <c r="ETE32" s="672"/>
      <c r="ETF32" s="672"/>
      <c r="ETG32" s="672"/>
      <c r="ETH32" s="672"/>
      <c r="ETI32" s="672"/>
      <c r="ETJ32" s="672"/>
      <c r="ETK32" s="672"/>
      <c r="ETL32" s="672"/>
      <c r="ETM32" s="672"/>
      <c r="ETN32" s="672"/>
      <c r="ETO32" s="672"/>
      <c r="ETP32" s="672"/>
      <c r="ETQ32" s="672"/>
      <c r="ETR32" s="672"/>
      <c r="ETS32" s="672"/>
      <c r="ETT32" s="672"/>
      <c r="ETU32" s="672"/>
      <c r="ETV32" s="672"/>
      <c r="ETW32" s="672"/>
      <c r="ETX32" s="672"/>
      <c r="ETY32" s="672"/>
      <c r="ETZ32" s="672"/>
      <c r="EUA32" s="672"/>
      <c r="EUB32" s="672"/>
      <c r="EUC32" s="672"/>
      <c r="EUD32" s="672"/>
      <c r="EUE32" s="672"/>
      <c r="EUF32" s="672"/>
      <c r="EUG32" s="672"/>
      <c r="EUH32" s="672"/>
      <c r="EUI32" s="672"/>
      <c r="EUJ32" s="672"/>
      <c r="EUK32" s="672"/>
      <c r="EUL32" s="672"/>
      <c r="EUM32" s="672"/>
      <c r="EUN32" s="672"/>
      <c r="EUO32" s="672"/>
      <c r="EUP32" s="672"/>
      <c r="EUQ32" s="672"/>
      <c r="EUR32" s="672"/>
      <c r="EUS32" s="672"/>
      <c r="EUT32" s="672"/>
      <c r="EUU32" s="672"/>
      <c r="EUV32" s="672"/>
      <c r="EUW32" s="672"/>
      <c r="EUX32" s="672"/>
      <c r="EUY32" s="672"/>
      <c r="EUZ32" s="672"/>
      <c r="EVA32" s="672"/>
      <c r="EVB32" s="672"/>
      <c r="EVC32" s="672"/>
      <c r="EVD32" s="672"/>
      <c r="EVE32" s="672"/>
      <c r="EVF32" s="672"/>
      <c r="EVG32" s="672"/>
      <c r="EVH32" s="672"/>
      <c r="EVI32" s="672"/>
      <c r="EVJ32" s="672"/>
      <c r="EVK32" s="672"/>
      <c r="EVL32" s="672"/>
      <c r="EVM32" s="672"/>
      <c r="EVN32" s="672"/>
      <c r="EVO32" s="672"/>
      <c r="EVP32" s="672"/>
      <c r="EVQ32" s="672"/>
      <c r="EVR32" s="672"/>
      <c r="EVS32" s="672"/>
      <c r="EVT32" s="672"/>
      <c r="EVU32" s="672"/>
      <c r="EVV32" s="672"/>
      <c r="EVW32" s="672"/>
      <c r="EVX32" s="672"/>
      <c r="EVY32" s="672"/>
      <c r="EVZ32" s="672"/>
      <c r="EWA32" s="672"/>
      <c r="EWB32" s="672"/>
      <c r="EWC32" s="672"/>
      <c r="EWD32" s="672"/>
      <c r="EWE32" s="672"/>
      <c r="EWF32" s="672"/>
      <c r="EWG32" s="672"/>
      <c r="EWH32" s="672"/>
      <c r="EWI32" s="672"/>
      <c r="EWJ32" s="672"/>
      <c r="EWK32" s="672"/>
      <c r="EWL32" s="672"/>
      <c r="EWM32" s="672"/>
      <c r="EWN32" s="672"/>
      <c r="EWO32" s="672"/>
      <c r="EWP32" s="672"/>
      <c r="EWQ32" s="672"/>
      <c r="EWR32" s="672"/>
      <c r="EWS32" s="672"/>
      <c r="EWT32" s="672"/>
      <c r="EWU32" s="672"/>
      <c r="EWV32" s="672"/>
      <c r="EWW32" s="672"/>
      <c r="EWX32" s="672"/>
      <c r="EWY32" s="672"/>
      <c r="EWZ32" s="672"/>
      <c r="EXA32" s="672"/>
      <c r="EXB32" s="672"/>
      <c r="EXC32" s="672"/>
      <c r="EXD32" s="672"/>
      <c r="EXE32" s="672"/>
      <c r="EXF32" s="672"/>
      <c r="EXG32" s="672"/>
      <c r="EXH32" s="672"/>
      <c r="EXI32" s="672"/>
      <c r="EXJ32" s="672"/>
      <c r="EXK32" s="672"/>
      <c r="EXL32" s="672"/>
      <c r="EXM32" s="672"/>
      <c r="EXN32" s="672"/>
      <c r="EXO32" s="672"/>
      <c r="EXP32" s="672"/>
      <c r="EXQ32" s="672"/>
      <c r="EXR32" s="672"/>
      <c r="EXS32" s="672"/>
      <c r="EXT32" s="672"/>
      <c r="EXU32" s="672"/>
      <c r="EXV32" s="672"/>
      <c r="EXW32" s="672"/>
      <c r="EXX32" s="672"/>
      <c r="EXY32" s="672"/>
      <c r="EXZ32" s="672"/>
      <c r="EYA32" s="672"/>
      <c r="EYB32" s="672"/>
      <c r="EYC32" s="672"/>
      <c r="EYD32" s="672"/>
      <c r="EYE32" s="672"/>
      <c r="EYF32" s="672"/>
      <c r="EYG32" s="672"/>
      <c r="EYH32" s="672"/>
      <c r="EYI32" s="672"/>
      <c r="EYJ32" s="672"/>
      <c r="EYK32" s="672"/>
      <c r="EYL32" s="672"/>
      <c r="EYM32" s="672"/>
      <c r="EYN32" s="672"/>
      <c r="EYO32" s="672"/>
      <c r="EYP32" s="672"/>
      <c r="EYQ32" s="672"/>
      <c r="EYR32" s="672"/>
      <c r="EYS32" s="672"/>
      <c r="EYT32" s="672"/>
      <c r="EYU32" s="672"/>
      <c r="EYV32" s="672"/>
      <c r="EYW32" s="672"/>
      <c r="EYX32" s="672"/>
      <c r="EYY32" s="672"/>
      <c r="EYZ32" s="672"/>
      <c r="EZA32" s="672"/>
      <c r="EZB32" s="672"/>
      <c r="EZC32" s="672"/>
      <c r="EZD32" s="672"/>
      <c r="EZE32" s="672"/>
      <c r="EZF32" s="672"/>
      <c r="EZG32" s="672"/>
      <c r="EZH32" s="672"/>
      <c r="EZI32" s="672"/>
      <c r="EZJ32" s="672"/>
      <c r="EZK32" s="672"/>
      <c r="EZL32" s="672"/>
      <c r="EZM32" s="672"/>
      <c r="EZN32" s="672"/>
      <c r="EZO32" s="672"/>
      <c r="EZP32" s="672"/>
      <c r="EZQ32" s="672"/>
      <c r="EZR32" s="672"/>
      <c r="EZS32" s="672"/>
      <c r="EZT32" s="672"/>
      <c r="EZU32" s="672"/>
      <c r="EZV32" s="672"/>
      <c r="EZW32" s="672"/>
      <c r="EZX32" s="672"/>
      <c r="EZY32" s="672"/>
      <c r="EZZ32" s="672"/>
      <c r="FAA32" s="672"/>
      <c r="FAB32" s="672"/>
      <c r="FAC32" s="672"/>
      <c r="FAD32" s="672"/>
      <c r="FAE32" s="672"/>
      <c r="FAF32" s="672"/>
      <c r="FAG32" s="672"/>
      <c r="FAH32" s="672"/>
      <c r="FAI32" s="672"/>
      <c r="FAJ32" s="672"/>
      <c r="FAK32" s="672"/>
      <c r="FAL32" s="672"/>
      <c r="FAM32" s="672"/>
      <c r="FAN32" s="672"/>
      <c r="FAO32" s="672"/>
      <c r="FAP32" s="672"/>
      <c r="FAQ32" s="672"/>
      <c r="FAR32" s="672"/>
      <c r="FAS32" s="672"/>
      <c r="FAT32" s="672"/>
      <c r="FAU32" s="672"/>
      <c r="FAV32" s="672"/>
      <c r="FAW32" s="672"/>
      <c r="FAX32" s="672"/>
      <c r="FAY32" s="672"/>
      <c r="FAZ32" s="672"/>
      <c r="FBA32" s="672"/>
      <c r="FBB32" s="672"/>
      <c r="FBC32" s="672"/>
      <c r="FBD32" s="672"/>
      <c r="FBE32" s="672"/>
      <c r="FBF32" s="672"/>
      <c r="FBG32" s="672"/>
      <c r="FBH32" s="672"/>
      <c r="FBI32" s="672"/>
      <c r="FBJ32" s="672"/>
      <c r="FBK32" s="672"/>
      <c r="FBL32" s="672"/>
      <c r="FBM32" s="672"/>
      <c r="FBN32" s="672"/>
      <c r="FBO32" s="672"/>
      <c r="FBP32" s="672"/>
      <c r="FBQ32" s="672"/>
      <c r="FBR32" s="672"/>
      <c r="FBS32" s="672"/>
      <c r="FBT32" s="672"/>
      <c r="FBU32" s="672"/>
      <c r="FBV32" s="672"/>
      <c r="FBW32" s="672"/>
      <c r="FBX32" s="672"/>
      <c r="FBY32" s="672"/>
      <c r="FBZ32" s="672"/>
      <c r="FCA32" s="672"/>
      <c r="FCB32" s="672"/>
      <c r="FCC32" s="672"/>
      <c r="FCD32" s="672"/>
      <c r="FCE32" s="672"/>
      <c r="FCF32" s="672"/>
      <c r="FCG32" s="672"/>
      <c r="FCH32" s="672"/>
      <c r="FCI32" s="672"/>
      <c r="FCJ32" s="672"/>
      <c r="FCK32" s="672"/>
      <c r="FCL32" s="672"/>
      <c r="FCM32" s="672"/>
      <c r="FCN32" s="672"/>
      <c r="FCO32" s="672"/>
      <c r="FCP32" s="672"/>
      <c r="FCQ32" s="672"/>
      <c r="FCR32" s="672"/>
      <c r="FCS32" s="672"/>
      <c r="FCT32" s="672"/>
      <c r="FCU32" s="672"/>
      <c r="FCV32" s="672"/>
      <c r="FCW32" s="672"/>
      <c r="FCX32" s="672"/>
      <c r="FCY32" s="672"/>
      <c r="FCZ32" s="672"/>
      <c r="FDA32" s="672"/>
      <c r="FDB32" s="672"/>
      <c r="FDC32" s="672"/>
      <c r="FDD32" s="672"/>
      <c r="FDE32" s="672"/>
      <c r="FDF32" s="672"/>
      <c r="FDG32" s="672"/>
      <c r="FDH32" s="672"/>
      <c r="FDI32" s="672"/>
      <c r="FDJ32" s="672"/>
      <c r="FDK32" s="672"/>
      <c r="FDL32" s="672"/>
      <c r="FDM32" s="672"/>
      <c r="FDN32" s="672"/>
      <c r="FDO32" s="672"/>
      <c r="FDP32" s="672"/>
      <c r="FDQ32" s="672"/>
      <c r="FDR32" s="672"/>
      <c r="FDS32" s="672"/>
      <c r="FDT32" s="672"/>
      <c r="FDU32" s="672"/>
      <c r="FDV32" s="672"/>
      <c r="FDW32" s="672"/>
      <c r="FDX32" s="672"/>
      <c r="FDY32" s="672"/>
      <c r="FDZ32" s="672"/>
      <c r="FEA32" s="672"/>
      <c r="FEB32" s="672"/>
      <c r="FEC32" s="672"/>
      <c r="FED32" s="672"/>
      <c r="FEE32" s="672"/>
      <c r="FEF32" s="672"/>
      <c r="FEG32" s="672"/>
      <c r="FEH32" s="672"/>
      <c r="FEI32" s="672"/>
      <c r="FEJ32" s="672"/>
      <c r="FEK32" s="672"/>
      <c r="FEL32" s="672"/>
      <c r="FEM32" s="672"/>
      <c r="FEN32" s="672"/>
      <c r="FEO32" s="672"/>
      <c r="FEP32" s="672"/>
      <c r="FEQ32" s="672"/>
      <c r="FER32" s="672"/>
      <c r="FES32" s="672"/>
      <c r="FET32" s="672"/>
      <c r="FEU32" s="672"/>
      <c r="FEV32" s="672"/>
      <c r="FEW32" s="672"/>
      <c r="FEX32" s="672"/>
      <c r="FEY32" s="672"/>
      <c r="FEZ32" s="672"/>
      <c r="FFA32" s="672"/>
      <c r="FFB32" s="672"/>
      <c r="FFC32" s="672"/>
      <c r="FFD32" s="672"/>
      <c r="FFE32" s="672"/>
      <c r="FFF32" s="672"/>
      <c r="FFG32" s="672"/>
      <c r="FFH32" s="672"/>
      <c r="FFI32" s="672"/>
      <c r="FFJ32" s="672"/>
      <c r="FFK32" s="672"/>
      <c r="FFL32" s="672"/>
      <c r="FFM32" s="672"/>
      <c r="FFN32" s="672"/>
      <c r="FFO32" s="672"/>
      <c r="FFP32" s="672"/>
      <c r="FFQ32" s="672"/>
      <c r="FFR32" s="672"/>
      <c r="FFS32" s="672"/>
      <c r="FFT32" s="672"/>
      <c r="FFU32" s="672"/>
      <c r="FFV32" s="672"/>
      <c r="FFW32" s="672"/>
      <c r="FFX32" s="672"/>
      <c r="FFY32" s="672"/>
      <c r="FFZ32" s="672"/>
      <c r="FGA32" s="672"/>
      <c r="FGB32" s="672"/>
      <c r="FGC32" s="672"/>
      <c r="FGD32" s="672"/>
      <c r="FGE32" s="672"/>
      <c r="FGF32" s="672"/>
      <c r="FGG32" s="672"/>
      <c r="FGH32" s="672"/>
      <c r="FGI32" s="672"/>
      <c r="FGJ32" s="672"/>
      <c r="FGK32" s="672"/>
      <c r="FGL32" s="672"/>
      <c r="FGM32" s="672"/>
      <c r="FGN32" s="672"/>
      <c r="FGO32" s="672"/>
      <c r="FGP32" s="672"/>
      <c r="FGQ32" s="672"/>
      <c r="FGR32" s="672"/>
      <c r="FGS32" s="672"/>
      <c r="FGT32" s="672"/>
      <c r="FGU32" s="672"/>
      <c r="FGV32" s="672"/>
      <c r="FGW32" s="672"/>
      <c r="FGX32" s="672"/>
      <c r="FGY32" s="672"/>
      <c r="FGZ32" s="672"/>
      <c r="FHA32" s="672"/>
      <c r="FHB32" s="672"/>
      <c r="FHC32" s="672"/>
      <c r="FHD32" s="672"/>
      <c r="FHE32" s="672"/>
      <c r="FHF32" s="672"/>
      <c r="FHG32" s="672"/>
      <c r="FHH32" s="672"/>
      <c r="FHI32" s="672"/>
      <c r="FHJ32" s="672"/>
      <c r="FHK32" s="672"/>
      <c r="FHL32" s="672"/>
      <c r="FHM32" s="672"/>
      <c r="FHN32" s="672"/>
      <c r="FHO32" s="672"/>
      <c r="FHP32" s="672"/>
      <c r="FHQ32" s="672"/>
      <c r="FHR32" s="672"/>
      <c r="FHS32" s="672"/>
      <c r="FHT32" s="672"/>
      <c r="FHU32" s="672"/>
      <c r="FHV32" s="672"/>
      <c r="FHW32" s="672"/>
      <c r="FHX32" s="672"/>
      <c r="FHY32" s="672"/>
      <c r="FHZ32" s="672"/>
      <c r="FIA32" s="672"/>
      <c r="FIB32" s="672"/>
      <c r="FIC32" s="672"/>
      <c r="FID32" s="672"/>
      <c r="FIE32" s="672"/>
      <c r="FIF32" s="672"/>
      <c r="FIG32" s="672"/>
      <c r="FIH32" s="672"/>
      <c r="FII32" s="672"/>
      <c r="FIJ32" s="672"/>
      <c r="FIK32" s="672"/>
      <c r="FIL32" s="672"/>
      <c r="FIM32" s="672"/>
      <c r="FIN32" s="672"/>
      <c r="FIO32" s="672"/>
      <c r="FIP32" s="672"/>
      <c r="FIQ32" s="672"/>
      <c r="FIR32" s="672"/>
      <c r="FIS32" s="672"/>
      <c r="FIT32" s="672"/>
      <c r="FIU32" s="672"/>
      <c r="FIV32" s="672"/>
      <c r="FIW32" s="672"/>
      <c r="FIX32" s="672"/>
      <c r="FIY32" s="672"/>
      <c r="FIZ32" s="672"/>
      <c r="FJA32" s="672"/>
      <c r="FJB32" s="672"/>
      <c r="FJC32" s="672"/>
      <c r="FJD32" s="672"/>
      <c r="FJE32" s="672"/>
      <c r="FJF32" s="672"/>
      <c r="FJG32" s="672"/>
      <c r="FJH32" s="672"/>
      <c r="FJI32" s="672"/>
      <c r="FJJ32" s="672"/>
      <c r="FJK32" s="672"/>
      <c r="FJL32" s="672"/>
      <c r="FJM32" s="672"/>
      <c r="FJN32" s="672"/>
      <c r="FJO32" s="672"/>
      <c r="FJP32" s="672"/>
      <c r="FJQ32" s="672"/>
      <c r="FJR32" s="672"/>
      <c r="FJS32" s="672"/>
      <c r="FJT32" s="672"/>
      <c r="FJU32" s="672"/>
      <c r="FJV32" s="672"/>
      <c r="FJW32" s="672"/>
      <c r="FJX32" s="672"/>
      <c r="FJY32" s="672"/>
      <c r="FJZ32" s="672"/>
      <c r="FKA32" s="672"/>
      <c r="FKB32" s="672"/>
      <c r="FKC32" s="672"/>
      <c r="FKD32" s="672"/>
      <c r="FKE32" s="672"/>
      <c r="FKF32" s="672"/>
      <c r="FKG32" s="672"/>
      <c r="FKH32" s="672"/>
      <c r="FKI32" s="672"/>
      <c r="FKJ32" s="672"/>
      <c r="FKK32" s="672"/>
      <c r="FKL32" s="672"/>
      <c r="FKM32" s="672"/>
      <c r="FKN32" s="672"/>
      <c r="FKO32" s="672"/>
      <c r="FKP32" s="672"/>
      <c r="FKQ32" s="672"/>
      <c r="FKR32" s="672"/>
      <c r="FKS32" s="672"/>
      <c r="FKT32" s="672"/>
      <c r="FKU32" s="672"/>
      <c r="FKV32" s="672"/>
      <c r="FKW32" s="672"/>
      <c r="FKX32" s="672"/>
      <c r="FKY32" s="672"/>
      <c r="FKZ32" s="672"/>
      <c r="FLA32" s="672"/>
      <c r="FLB32" s="672"/>
      <c r="FLC32" s="672"/>
      <c r="FLD32" s="672"/>
      <c r="FLE32" s="672"/>
      <c r="FLF32" s="672"/>
      <c r="FLG32" s="672"/>
      <c r="FLH32" s="672"/>
      <c r="FLI32" s="672"/>
      <c r="FLJ32" s="672"/>
      <c r="FLK32" s="672"/>
      <c r="FLL32" s="672"/>
      <c r="FLM32" s="672"/>
      <c r="FLN32" s="672"/>
      <c r="FLO32" s="672"/>
      <c r="FLP32" s="672"/>
      <c r="FLQ32" s="672"/>
      <c r="FLR32" s="672"/>
      <c r="FLS32" s="672"/>
      <c r="FLT32" s="672"/>
      <c r="FLU32" s="672"/>
      <c r="FLV32" s="672"/>
      <c r="FLW32" s="672"/>
      <c r="FLX32" s="672"/>
      <c r="FLY32" s="672"/>
      <c r="FLZ32" s="672"/>
      <c r="FMA32" s="672"/>
      <c r="FMB32" s="672"/>
      <c r="FMC32" s="672"/>
      <c r="FMD32" s="672"/>
      <c r="FME32" s="672"/>
      <c r="FMF32" s="672"/>
      <c r="FMG32" s="672"/>
      <c r="FMH32" s="672"/>
      <c r="FMI32" s="672"/>
      <c r="FMJ32" s="672"/>
      <c r="FMK32" s="672"/>
      <c r="FML32" s="672"/>
      <c r="FMM32" s="672"/>
      <c r="FMN32" s="672"/>
      <c r="FMO32" s="672"/>
      <c r="FMP32" s="672"/>
      <c r="FMQ32" s="672"/>
      <c r="FMR32" s="672"/>
      <c r="FMS32" s="672"/>
      <c r="FMT32" s="672"/>
      <c r="FMU32" s="672"/>
      <c r="FMV32" s="672"/>
      <c r="FMW32" s="672"/>
      <c r="FMX32" s="672"/>
      <c r="FMY32" s="672"/>
      <c r="FMZ32" s="672"/>
      <c r="FNA32" s="672"/>
      <c r="FNB32" s="672"/>
      <c r="FNC32" s="672"/>
      <c r="FND32" s="672"/>
      <c r="FNE32" s="672"/>
      <c r="FNF32" s="672"/>
      <c r="FNG32" s="672"/>
      <c r="FNH32" s="672"/>
      <c r="FNI32" s="672"/>
      <c r="FNJ32" s="672"/>
      <c r="FNK32" s="672"/>
      <c r="FNL32" s="672"/>
      <c r="FNM32" s="672"/>
      <c r="FNN32" s="672"/>
      <c r="FNO32" s="672"/>
      <c r="FNP32" s="672"/>
      <c r="FNQ32" s="672"/>
      <c r="FNR32" s="672"/>
      <c r="FNS32" s="672"/>
      <c r="FNT32" s="672"/>
      <c r="FNU32" s="672"/>
      <c r="FNV32" s="672"/>
      <c r="FNW32" s="672"/>
      <c r="FNX32" s="672"/>
      <c r="FNY32" s="672"/>
      <c r="FNZ32" s="672"/>
      <c r="FOA32" s="672"/>
      <c r="FOB32" s="672"/>
      <c r="FOC32" s="672"/>
      <c r="FOD32" s="672"/>
      <c r="FOE32" s="672"/>
      <c r="FOF32" s="672"/>
      <c r="FOG32" s="672"/>
      <c r="FOH32" s="672"/>
      <c r="FOI32" s="672"/>
      <c r="FOJ32" s="672"/>
      <c r="FOK32" s="672"/>
      <c r="FOL32" s="672"/>
      <c r="FOM32" s="672"/>
      <c r="FON32" s="672"/>
      <c r="FOO32" s="672"/>
      <c r="FOP32" s="672"/>
      <c r="FOQ32" s="672"/>
      <c r="FOR32" s="672"/>
      <c r="FOS32" s="672"/>
      <c r="FOT32" s="672"/>
      <c r="FOU32" s="672"/>
      <c r="FOV32" s="672"/>
      <c r="FOW32" s="672"/>
      <c r="FOX32" s="672"/>
      <c r="FOY32" s="672"/>
      <c r="FOZ32" s="672"/>
      <c r="FPA32" s="672"/>
      <c r="FPB32" s="672"/>
      <c r="FPC32" s="672"/>
      <c r="FPD32" s="672"/>
      <c r="FPE32" s="672"/>
      <c r="FPF32" s="672"/>
      <c r="FPG32" s="672"/>
      <c r="FPH32" s="672"/>
      <c r="FPI32" s="672"/>
      <c r="FPJ32" s="672"/>
      <c r="FPK32" s="672"/>
      <c r="FPL32" s="672"/>
      <c r="FPM32" s="672"/>
      <c r="FPN32" s="672"/>
      <c r="FPO32" s="672"/>
      <c r="FPP32" s="672"/>
      <c r="FPQ32" s="672"/>
      <c r="FPR32" s="672"/>
      <c r="FPS32" s="672"/>
      <c r="FPT32" s="672"/>
      <c r="FPU32" s="672"/>
      <c r="FPV32" s="672"/>
      <c r="FPW32" s="672"/>
      <c r="FPX32" s="672"/>
      <c r="FPY32" s="672"/>
      <c r="FPZ32" s="672"/>
      <c r="FQA32" s="672"/>
      <c r="FQB32" s="672"/>
      <c r="FQC32" s="672"/>
      <c r="FQD32" s="672"/>
      <c r="FQE32" s="672"/>
      <c r="FQF32" s="672"/>
      <c r="FQG32" s="672"/>
      <c r="FQH32" s="672"/>
      <c r="FQI32" s="672"/>
      <c r="FQJ32" s="672"/>
      <c r="FQK32" s="672"/>
      <c r="FQL32" s="672"/>
      <c r="FQM32" s="672"/>
      <c r="FQN32" s="672"/>
      <c r="FQO32" s="672"/>
      <c r="FQP32" s="672"/>
      <c r="FQQ32" s="672"/>
      <c r="FQR32" s="672"/>
      <c r="FQS32" s="672"/>
      <c r="FQT32" s="672"/>
      <c r="FQU32" s="672"/>
      <c r="FQV32" s="672"/>
      <c r="FQW32" s="672"/>
      <c r="FQX32" s="672"/>
      <c r="FQY32" s="672"/>
      <c r="FQZ32" s="672"/>
      <c r="FRA32" s="672"/>
      <c r="FRB32" s="672"/>
      <c r="FRC32" s="672"/>
      <c r="FRD32" s="672"/>
      <c r="FRE32" s="672"/>
      <c r="FRF32" s="672"/>
      <c r="FRG32" s="672"/>
      <c r="FRH32" s="672"/>
      <c r="FRI32" s="672"/>
      <c r="FRJ32" s="672"/>
      <c r="FRK32" s="672"/>
      <c r="FRL32" s="672"/>
      <c r="FRM32" s="672"/>
      <c r="FRN32" s="672"/>
      <c r="FRO32" s="672"/>
      <c r="FRP32" s="672"/>
      <c r="FRQ32" s="672"/>
      <c r="FRR32" s="672"/>
      <c r="FRS32" s="672"/>
      <c r="FRT32" s="672"/>
      <c r="FRU32" s="672"/>
      <c r="FRV32" s="672"/>
      <c r="FRW32" s="672"/>
      <c r="FRX32" s="672"/>
      <c r="FRY32" s="672"/>
      <c r="FRZ32" s="672"/>
      <c r="FSA32" s="672"/>
      <c r="FSB32" s="672"/>
      <c r="FSC32" s="672"/>
      <c r="FSD32" s="672"/>
      <c r="FSE32" s="672"/>
      <c r="FSF32" s="672"/>
      <c r="FSG32" s="672"/>
      <c r="FSH32" s="672"/>
      <c r="FSI32" s="672"/>
      <c r="FSJ32" s="672"/>
      <c r="FSK32" s="672"/>
      <c r="FSL32" s="672"/>
      <c r="FSM32" s="672"/>
      <c r="FSN32" s="672"/>
      <c r="FSO32" s="672"/>
      <c r="FSP32" s="672"/>
      <c r="FSQ32" s="672"/>
      <c r="FSR32" s="672"/>
      <c r="FSS32" s="672"/>
      <c r="FST32" s="672"/>
      <c r="FSU32" s="672"/>
      <c r="FSV32" s="672"/>
      <c r="FSW32" s="672"/>
      <c r="FSX32" s="672"/>
      <c r="FSY32" s="672"/>
      <c r="FSZ32" s="672"/>
      <c r="FTA32" s="672"/>
      <c r="FTB32" s="672"/>
      <c r="FTC32" s="672"/>
      <c r="FTD32" s="672"/>
      <c r="FTE32" s="672"/>
      <c r="FTF32" s="672"/>
      <c r="FTG32" s="672"/>
      <c r="FTH32" s="672"/>
      <c r="FTI32" s="672"/>
      <c r="FTJ32" s="672"/>
      <c r="FTK32" s="672"/>
      <c r="FTL32" s="672"/>
      <c r="FTM32" s="672"/>
      <c r="FTN32" s="672"/>
      <c r="FTO32" s="672"/>
      <c r="FTP32" s="672"/>
      <c r="FTQ32" s="672"/>
      <c r="FTR32" s="672"/>
      <c r="FTS32" s="672"/>
      <c r="FTT32" s="672"/>
      <c r="FTU32" s="672"/>
      <c r="FTV32" s="672"/>
      <c r="FTW32" s="672"/>
      <c r="FTX32" s="672"/>
      <c r="FTY32" s="672"/>
      <c r="FTZ32" s="672"/>
      <c r="FUA32" s="672"/>
      <c r="FUB32" s="672"/>
      <c r="FUC32" s="672"/>
      <c r="FUD32" s="672"/>
      <c r="FUE32" s="672"/>
      <c r="FUF32" s="672"/>
      <c r="FUG32" s="672"/>
      <c r="FUH32" s="672"/>
      <c r="FUI32" s="672"/>
      <c r="FUJ32" s="672"/>
      <c r="FUK32" s="672"/>
      <c r="FUL32" s="672"/>
      <c r="FUM32" s="672"/>
      <c r="FUN32" s="672"/>
      <c r="FUO32" s="672"/>
      <c r="FUP32" s="672"/>
      <c r="FUQ32" s="672"/>
      <c r="FUR32" s="672"/>
      <c r="FUS32" s="672"/>
      <c r="FUT32" s="672"/>
      <c r="FUU32" s="672"/>
      <c r="FUV32" s="672"/>
      <c r="FUW32" s="672"/>
      <c r="FUX32" s="672"/>
      <c r="FUY32" s="672"/>
      <c r="FUZ32" s="672"/>
      <c r="FVA32" s="672"/>
      <c r="FVB32" s="672"/>
      <c r="FVC32" s="672"/>
      <c r="FVD32" s="672"/>
      <c r="FVE32" s="672"/>
      <c r="FVF32" s="672"/>
      <c r="FVG32" s="672"/>
      <c r="FVH32" s="672"/>
      <c r="FVI32" s="672"/>
      <c r="FVJ32" s="672"/>
      <c r="FVK32" s="672"/>
      <c r="FVL32" s="672"/>
      <c r="FVM32" s="672"/>
      <c r="FVN32" s="672"/>
      <c r="FVO32" s="672"/>
      <c r="FVP32" s="672"/>
      <c r="FVQ32" s="672"/>
      <c r="FVR32" s="672"/>
      <c r="FVS32" s="672"/>
      <c r="FVT32" s="672"/>
      <c r="FVU32" s="672"/>
      <c r="FVV32" s="672"/>
      <c r="FVW32" s="672"/>
      <c r="FVX32" s="672"/>
      <c r="FVY32" s="672"/>
      <c r="FVZ32" s="672"/>
      <c r="FWA32" s="672"/>
      <c r="FWB32" s="672"/>
      <c r="FWC32" s="672"/>
      <c r="FWD32" s="672"/>
      <c r="FWE32" s="672"/>
      <c r="FWF32" s="672"/>
      <c r="FWG32" s="672"/>
      <c r="FWH32" s="672"/>
      <c r="FWI32" s="672"/>
      <c r="FWJ32" s="672"/>
      <c r="FWK32" s="672"/>
      <c r="FWL32" s="672"/>
      <c r="FWM32" s="672"/>
      <c r="FWN32" s="672"/>
      <c r="FWO32" s="672"/>
      <c r="FWP32" s="672"/>
      <c r="FWQ32" s="672"/>
      <c r="FWR32" s="672"/>
      <c r="FWS32" s="672"/>
      <c r="FWT32" s="672"/>
      <c r="FWU32" s="672"/>
      <c r="FWV32" s="672"/>
      <c r="FWW32" s="672"/>
      <c r="FWX32" s="672"/>
      <c r="FWY32" s="672"/>
      <c r="FWZ32" s="672"/>
      <c r="FXA32" s="672"/>
      <c r="FXB32" s="672"/>
      <c r="FXC32" s="672"/>
      <c r="FXD32" s="672"/>
      <c r="FXE32" s="672"/>
      <c r="FXF32" s="672"/>
      <c r="FXG32" s="672"/>
      <c r="FXH32" s="672"/>
      <c r="FXI32" s="672"/>
      <c r="FXJ32" s="672"/>
      <c r="FXK32" s="672"/>
      <c r="FXL32" s="672"/>
      <c r="FXM32" s="672"/>
      <c r="FXN32" s="672"/>
      <c r="FXO32" s="672"/>
      <c r="FXP32" s="672"/>
      <c r="FXQ32" s="672"/>
      <c r="FXR32" s="672"/>
      <c r="FXS32" s="672"/>
      <c r="FXT32" s="672"/>
      <c r="FXU32" s="672"/>
      <c r="FXV32" s="672"/>
      <c r="FXW32" s="672"/>
      <c r="FXX32" s="672"/>
      <c r="FXY32" s="672"/>
      <c r="FXZ32" s="672"/>
      <c r="FYA32" s="672"/>
      <c r="FYB32" s="672"/>
      <c r="FYC32" s="672"/>
      <c r="FYD32" s="672"/>
      <c r="FYE32" s="672"/>
      <c r="FYF32" s="672"/>
      <c r="FYG32" s="672"/>
      <c r="FYH32" s="672"/>
      <c r="FYI32" s="672"/>
      <c r="FYJ32" s="672"/>
      <c r="FYK32" s="672"/>
      <c r="FYL32" s="672"/>
      <c r="FYM32" s="672"/>
      <c r="FYN32" s="672"/>
      <c r="FYO32" s="672"/>
      <c r="FYP32" s="672"/>
      <c r="FYQ32" s="672"/>
      <c r="FYR32" s="672"/>
      <c r="FYS32" s="672"/>
      <c r="FYT32" s="672"/>
      <c r="FYU32" s="672"/>
      <c r="FYV32" s="672"/>
      <c r="FYW32" s="672"/>
      <c r="FYX32" s="672"/>
      <c r="FYY32" s="672"/>
      <c r="FYZ32" s="672"/>
      <c r="FZA32" s="672"/>
      <c r="FZB32" s="672"/>
      <c r="FZC32" s="672"/>
      <c r="FZD32" s="672"/>
      <c r="FZE32" s="672"/>
      <c r="FZF32" s="672"/>
      <c r="FZG32" s="672"/>
      <c r="FZH32" s="672"/>
      <c r="FZI32" s="672"/>
      <c r="FZJ32" s="672"/>
      <c r="FZK32" s="672"/>
      <c r="FZL32" s="672"/>
      <c r="FZM32" s="672"/>
      <c r="FZN32" s="672"/>
      <c r="FZO32" s="672"/>
      <c r="FZP32" s="672"/>
      <c r="FZQ32" s="672"/>
      <c r="FZR32" s="672"/>
      <c r="FZS32" s="672"/>
      <c r="FZT32" s="672"/>
      <c r="FZU32" s="672"/>
      <c r="FZV32" s="672"/>
      <c r="FZW32" s="672"/>
      <c r="FZX32" s="672"/>
      <c r="FZY32" s="672"/>
      <c r="FZZ32" s="672"/>
      <c r="GAA32" s="672"/>
      <c r="GAB32" s="672"/>
      <c r="GAC32" s="672"/>
      <c r="GAD32" s="672"/>
      <c r="GAE32" s="672"/>
      <c r="GAF32" s="672"/>
      <c r="GAG32" s="672"/>
      <c r="GAH32" s="672"/>
      <c r="GAI32" s="672"/>
      <c r="GAJ32" s="672"/>
      <c r="GAK32" s="672"/>
      <c r="GAL32" s="672"/>
      <c r="GAM32" s="672"/>
      <c r="GAN32" s="672"/>
      <c r="GAO32" s="672"/>
      <c r="GAP32" s="672"/>
      <c r="GAQ32" s="672"/>
      <c r="GAR32" s="672"/>
      <c r="GAS32" s="672"/>
      <c r="GAT32" s="672"/>
      <c r="GAU32" s="672"/>
      <c r="GAV32" s="672"/>
      <c r="GAW32" s="672"/>
      <c r="GAX32" s="672"/>
      <c r="GAY32" s="672"/>
      <c r="GAZ32" s="672"/>
      <c r="GBA32" s="672"/>
      <c r="GBB32" s="672"/>
      <c r="GBC32" s="672"/>
      <c r="GBD32" s="672"/>
      <c r="GBE32" s="672"/>
      <c r="GBF32" s="672"/>
      <c r="GBG32" s="672"/>
      <c r="GBH32" s="672"/>
      <c r="GBI32" s="672"/>
      <c r="GBJ32" s="672"/>
      <c r="GBK32" s="672"/>
      <c r="GBL32" s="672"/>
      <c r="GBM32" s="672"/>
      <c r="GBN32" s="672"/>
      <c r="GBO32" s="672"/>
      <c r="GBP32" s="672"/>
      <c r="GBQ32" s="672"/>
      <c r="GBR32" s="672"/>
      <c r="GBS32" s="672"/>
      <c r="GBT32" s="672"/>
      <c r="GBU32" s="672"/>
      <c r="GBV32" s="672"/>
      <c r="GBW32" s="672"/>
      <c r="GBX32" s="672"/>
      <c r="GBY32" s="672"/>
      <c r="GBZ32" s="672"/>
      <c r="GCA32" s="672"/>
      <c r="GCB32" s="672"/>
      <c r="GCC32" s="672"/>
      <c r="GCD32" s="672"/>
      <c r="GCE32" s="672"/>
      <c r="GCF32" s="672"/>
      <c r="GCG32" s="672"/>
      <c r="GCH32" s="672"/>
      <c r="GCI32" s="672"/>
      <c r="GCJ32" s="672"/>
      <c r="GCK32" s="672"/>
      <c r="GCL32" s="672"/>
      <c r="GCM32" s="672"/>
      <c r="GCN32" s="672"/>
      <c r="GCO32" s="672"/>
      <c r="GCP32" s="672"/>
      <c r="GCQ32" s="672"/>
      <c r="GCR32" s="672"/>
      <c r="GCS32" s="672"/>
      <c r="GCT32" s="672"/>
      <c r="GCU32" s="672"/>
      <c r="GCV32" s="672"/>
      <c r="GCW32" s="672"/>
      <c r="GCX32" s="672"/>
      <c r="GCY32" s="672"/>
      <c r="GCZ32" s="672"/>
      <c r="GDA32" s="672"/>
      <c r="GDB32" s="672"/>
      <c r="GDC32" s="672"/>
      <c r="GDD32" s="672"/>
      <c r="GDE32" s="672"/>
      <c r="GDF32" s="672"/>
      <c r="GDG32" s="672"/>
      <c r="GDH32" s="672"/>
      <c r="GDI32" s="672"/>
      <c r="GDJ32" s="672"/>
      <c r="GDK32" s="672"/>
      <c r="GDL32" s="672"/>
      <c r="GDM32" s="672"/>
      <c r="GDN32" s="672"/>
      <c r="GDO32" s="672"/>
      <c r="GDP32" s="672"/>
      <c r="GDQ32" s="672"/>
      <c r="GDR32" s="672"/>
      <c r="GDS32" s="672"/>
      <c r="GDT32" s="672"/>
      <c r="GDU32" s="672"/>
      <c r="GDV32" s="672"/>
      <c r="GDW32" s="672"/>
      <c r="GDX32" s="672"/>
      <c r="GDY32" s="672"/>
      <c r="GDZ32" s="672"/>
      <c r="GEA32" s="672"/>
      <c r="GEB32" s="672"/>
      <c r="GEC32" s="672"/>
      <c r="GED32" s="672"/>
      <c r="GEE32" s="672"/>
      <c r="GEF32" s="672"/>
      <c r="GEG32" s="672"/>
      <c r="GEH32" s="672"/>
      <c r="GEI32" s="672"/>
      <c r="GEJ32" s="672"/>
      <c r="GEK32" s="672"/>
      <c r="GEL32" s="672"/>
      <c r="GEM32" s="672"/>
      <c r="GEN32" s="672"/>
      <c r="GEO32" s="672"/>
      <c r="GEP32" s="672"/>
      <c r="GEQ32" s="672"/>
      <c r="GER32" s="672"/>
      <c r="GES32" s="672"/>
      <c r="GET32" s="672"/>
      <c r="GEU32" s="672"/>
      <c r="GEV32" s="672"/>
      <c r="GEW32" s="672"/>
      <c r="GEX32" s="672"/>
      <c r="GEY32" s="672"/>
      <c r="GEZ32" s="672"/>
      <c r="GFA32" s="672"/>
      <c r="GFB32" s="672"/>
      <c r="GFC32" s="672"/>
      <c r="GFD32" s="672"/>
      <c r="GFE32" s="672"/>
      <c r="GFF32" s="672"/>
      <c r="GFG32" s="672"/>
      <c r="GFH32" s="672"/>
      <c r="GFI32" s="672"/>
      <c r="GFJ32" s="672"/>
      <c r="GFK32" s="672"/>
      <c r="GFL32" s="672"/>
      <c r="GFM32" s="672"/>
      <c r="GFN32" s="672"/>
      <c r="GFO32" s="672"/>
      <c r="GFP32" s="672"/>
      <c r="GFQ32" s="672"/>
      <c r="GFR32" s="672"/>
      <c r="GFS32" s="672"/>
      <c r="GFT32" s="672"/>
      <c r="GFU32" s="672"/>
      <c r="GFV32" s="672"/>
      <c r="GFW32" s="672"/>
      <c r="GFX32" s="672"/>
      <c r="GFY32" s="672"/>
      <c r="GFZ32" s="672"/>
      <c r="GGA32" s="672"/>
      <c r="GGB32" s="672"/>
      <c r="GGC32" s="672"/>
      <c r="GGD32" s="672"/>
      <c r="GGE32" s="672"/>
      <c r="GGF32" s="672"/>
      <c r="GGG32" s="672"/>
      <c r="GGH32" s="672"/>
      <c r="GGI32" s="672"/>
      <c r="GGJ32" s="672"/>
      <c r="GGK32" s="672"/>
      <c r="GGL32" s="672"/>
      <c r="GGM32" s="672"/>
      <c r="GGN32" s="672"/>
      <c r="GGO32" s="672"/>
      <c r="GGP32" s="672"/>
      <c r="GGQ32" s="672"/>
      <c r="GGR32" s="672"/>
      <c r="GGS32" s="672"/>
      <c r="GGT32" s="672"/>
      <c r="GGU32" s="672"/>
      <c r="GGV32" s="672"/>
      <c r="GGW32" s="672"/>
      <c r="GGX32" s="672"/>
      <c r="GGY32" s="672"/>
      <c r="GGZ32" s="672"/>
      <c r="GHA32" s="672"/>
      <c r="GHB32" s="672"/>
      <c r="GHC32" s="672"/>
      <c r="GHD32" s="672"/>
      <c r="GHE32" s="672"/>
      <c r="GHF32" s="672"/>
      <c r="GHG32" s="672"/>
      <c r="GHH32" s="672"/>
      <c r="GHI32" s="672"/>
      <c r="GHJ32" s="672"/>
      <c r="GHK32" s="672"/>
      <c r="GHL32" s="672"/>
      <c r="GHM32" s="672"/>
      <c r="GHN32" s="672"/>
      <c r="GHO32" s="672"/>
      <c r="GHP32" s="672"/>
      <c r="GHQ32" s="672"/>
      <c r="GHR32" s="672"/>
      <c r="GHS32" s="672"/>
      <c r="GHT32" s="672"/>
      <c r="GHU32" s="672"/>
      <c r="GHV32" s="672"/>
      <c r="GHW32" s="672"/>
      <c r="GHX32" s="672"/>
      <c r="GHY32" s="672"/>
      <c r="GHZ32" s="672"/>
      <c r="GIA32" s="672"/>
      <c r="GIB32" s="672"/>
      <c r="GIC32" s="672"/>
      <c r="GID32" s="672"/>
      <c r="GIE32" s="672"/>
      <c r="GIF32" s="672"/>
      <c r="GIG32" s="672"/>
      <c r="GIH32" s="672"/>
      <c r="GII32" s="672"/>
      <c r="GIJ32" s="672"/>
      <c r="GIK32" s="672"/>
      <c r="GIL32" s="672"/>
      <c r="GIM32" s="672"/>
      <c r="GIN32" s="672"/>
      <c r="GIO32" s="672"/>
      <c r="GIP32" s="672"/>
      <c r="GIQ32" s="672"/>
      <c r="GIR32" s="672"/>
      <c r="GIS32" s="672"/>
      <c r="GIT32" s="672"/>
      <c r="GIU32" s="672"/>
      <c r="GIV32" s="672"/>
      <c r="GIW32" s="672"/>
      <c r="GIX32" s="672"/>
      <c r="GIY32" s="672"/>
      <c r="GIZ32" s="672"/>
      <c r="GJA32" s="672"/>
      <c r="GJB32" s="672"/>
      <c r="GJC32" s="672"/>
      <c r="GJD32" s="672"/>
      <c r="GJE32" s="672"/>
      <c r="GJF32" s="672"/>
      <c r="GJG32" s="672"/>
      <c r="GJH32" s="672"/>
      <c r="GJI32" s="672"/>
      <c r="GJJ32" s="672"/>
      <c r="GJK32" s="672"/>
      <c r="GJL32" s="672"/>
      <c r="GJM32" s="672"/>
      <c r="GJN32" s="672"/>
      <c r="GJO32" s="672"/>
      <c r="GJP32" s="672"/>
      <c r="GJQ32" s="672"/>
      <c r="GJR32" s="672"/>
      <c r="GJS32" s="672"/>
      <c r="GJT32" s="672"/>
      <c r="GJU32" s="672"/>
      <c r="GJV32" s="672"/>
      <c r="GJW32" s="672"/>
      <c r="GJX32" s="672"/>
      <c r="GJY32" s="672"/>
      <c r="GJZ32" s="672"/>
      <c r="GKA32" s="672"/>
      <c r="GKB32" s="672"/>
      <c r="GKC32" s="672"/>
      <c r="GKD32" s="672"/>
      <c r="GKE32" s="672"/>
      <c r="GKF32" s="672"/>
      <c r="GKG32" s="672"/>
      <c r="GKH32" s="672"/>
      <c r="GKI32" s="672"/>
      <c r="GKJ32" s="672"/>
      <c r="GKK32" s="672"/>
      <c r="GKL32" s="672"/>
      <c r="GKM32" s="672"/>
      <c r="GKN32" s="672"/>
      <c r="GKO32" s="672"/>
      <c r="GKP32" s="672"/>
      <c r="GKQ32" s="672"/>
      <c r="GKR32" s="672"/>
      <c r="GKS32" s="672"/>
      <c r="GKT32" s="672"/>
      <c r="GKU32" s="672"/>
      <c r="GKV32" s="672"/>
      <c r="GKW32" s="672"/>
      <c r="GKX32" s="672"/>
      <c r="GKY32" s="672"/>
      <c r="GKZ32" s="672"/>
      <c r="GLA32" s="672"/>
      <c r="GLB32" s="672"/>
      <c r="GLC32" s="672"/>
      <c r="GLD32" s="672"/>
      <c r="GLE32" s="672"/>
      <c r="GLF32" s="672"/>
      <c r="GLG32" s="672"/>
      <c r="GLH32" s="672"/>
      <c r="GLI32" s="672"/>
      <c r="GLJ32" s="672"/>
      <c r="GLK32" s="672"/>
      <c r="GLL32" s="672"/>
      <c r="GLM32" s="672"/>
      <c r="GLN32" s="672"/>
      <c r="GLO32" s="672"/>
      <c r="GLP32" s="672"/>
      <c r="GLQ32" s="672"/>
      <c r="GLR32" s="672"/>
      <c r="GLS32" s="672"/>
      <c r="GLT32" s="672"/>
      <c r="GLU32" s="672"/>
      <c r="GLV32" s="672"/>
      <c r="GLW32" s="672"/>
      <c r="GLX32" s="672"/>
      <c r="GLY32" s="672"/>
      <c r="GLZ32" s="672"/>
      <c r="GMA32" s="672"/>
      <c r="GMB32" s="672"/>
      <c r="GMC32" s="672"/>
      <c r="GMD32" s="672"/>
      <c r="GME32" s="672"/>
      <c r="GMF32" s="672"/>
      <c r="GMG32" s="672"/>
      <c r="GMH32" s="672"/>
      <c r="GMI32" s="672"/>
      <c r="GMJ32" s="672"/>
      <c r="GMK32" s="672"/>
      <c r="GML32" s="672"/>
      <c r="GMM32" s="672"/>
      <c r="GMN32" s="672"/>
      <c r="GMO32" s="672"/>
      <c r="GMP32" s="672"/>
      <c r="GMQ32" s="672"/>
      <c r="GMR32" s="672"/>
      <c r="GMS32" s="672"/>
      <c r="GMT32" s="672"/>
      <c r="GMU32" s="672"/>
      <c r="GMV32" s="672"/>
      <c r="GMW32" s="672"/>
      <c r="GMX32" s="672"/>
      <c r="GMY32" s="672"/>
      <c r="GMZ32" s="672"/>
      <c r="GNA32" s="672"/>
      <c r="GNB32" s="672"/>
      <c r="GNC32" s="672"/>
      <c r="GND32" s="672"/>
      <c r="GNE32" s="672"/>
      <c r="GNF32" s="672"/>
      <c r="GNG32" s="672"/>
      <c r="GNH32" s="672"/>
      <c r="GNI32" s="672"/>
      <c r="GNJ32" s="672"/>
      <c r="GNK32" s="672"/>
      <c r="GNL32" s="672"/>
      <c r="GNM32" s="672"/>
      <c r="GNN32" s="672"/>
      <c r="GNO32" s="672"/>
      <c r="GNP32" s="672"/>
      <c r="GNQ32" s="672"/>
      <c r="GNR32" s="672"/>
      <c r="GNS32" s="672"/>
      <c r="GNT32" s="672"/>
      <c r="GNU32" s="672"/>
      <c r="GNV32" s="672"/>
      <c r="GNW32" s="672"/>
      <c r="GNX32" s="672"/>
      <c r="GNY32" s="672"/>
      <c r="GNZ32" s="672"/>
      <c r="GOA32" s="672"/>
      <c r="GOB32" s="672"/>
      <c r="GOC32" s="672"/>
      <c r="GOD32" s="672"/>
      <c r="GOE32" s="672"/>
      <c r="GOF32" s="672"/>
      <c r="GOG32" s="672"/>
      <c r="GOH32" s="672"/>
      <c r="GOI32" s="672"/>
      <c r="GOJ32" s="672"/>
      <c r="GOK32" s="672"/>
      <c r="GOL32" s="672"/>
      <c r="GOM32" s="672"/>
      <c r="GON32" s="672"/>
      <c r="GOO32" s="672"/>
      <c r="GOP32" s="672"/>
      <c r="GOQ32" s="672"/>
      <c r="GOR32" s="672"/>
      <c r="GOS32" s="672"/>
      <c r="GOT32" s="672"/>
      <c r="GOU32" s="672"/>
      <c r="GOV32" s="672"/>
      <c r="GOW32" s="672"/>
      <c r="GOX32" s="672"/>
      <c r="GOY32" s="672"/>
      <c r="GOZ32" s="672"/>
      <c r="GPA32" s="672"/>
      <c r="GPB32" s="672"/>
      <c r="GPC32" s="672"/>
      <c r="GPD32" s="672"/>
      <c r="GPE32" s="672"/>
      <c r="GPF32" s="672"/>
      <c r="GPG32" s="672"/>
      <c r="GPH32" s="672"/>
      <c r="GPI32" s="672"/>
      <c r="GPJ32" s="672"/>
      <c r="GPK32" s="672"/>
      <c r="GPL32" s="672"/>
      <c r="GPM32" s="672"/>
      <c r="GPN32" s="672"/>
      <c r="GPO32" s="672"/>
      <c r="GPP32" s="672"/>
      <c r="GPQ32" s="672"/>
      <c r="GPR32" s="672"/>
      <c r="GPS32" s="672"/>
      <c r="GPT32" s="672"/>
      <c r="GPU32" s="672"/>
      <c r="GPV32" s="672"/>
      <c r="GPW32" s="672"/>
      <c r="GPX32" s="672"/>
      <c r="GPY32" s="672"/>
      <c r="GPZ32" s="672"/>
      <c r="GQA32" s="672"/>
      <c r="GQB32" s="672"/>
      <c r="GQC32" s="672"/>
      <c r="GQD32" s="672"/>
      <c r="GQE32" s="672"/>
      <c r="GQF32" s="672"/>
      <c r="GQG32" s="672"/>
      <c r="GQH32" s="672"/>
      <c r="GQI32" s="672"/>
      <c r="GQJ32" s="672"/>
      <c r="GQK32" s="672"/>
      <c r="GQL32" s="672"/>
      <c r="GQM32" s="672"/>
      <c r="GQN32" s="672"/>
      <c r="GQO32" s="672"/>
      <c r="GQP32" s="672"/>
      <c r="GQQ32" s="672"/>
      <c r="GQR32" s="672"/>
      <c r="GQS32" s="672"/>
      <c r="GQT32" s="672"/>
      <c r="GQU32" s="672"/>
      <c r="GQV32" s="672"/>
      <c r="GQW32" s="672"/>
      <c r="GQX32" s="672"/>
      <c r="GQY32" s="672"/>
      <c r="GQZ32" s="672"/>
      <c r="GRA32" s="672"/>
      <c r="GRB32" s="672"/>
      <c r="GRC32" s="672"/>
      <c r="GRD32" s="672"/>
      <c r="GRE32" s="672"/>
      <c r="GRF32" s="672"/>
      <c r="GRG32" s="672"/>
      <c r="GRH32" s="672"/>
      <c r="GRI32" s="672"/>
      <c r="GRJ32" s="672"/>
      <c r="GRK32" s="672"/>
      <c r="GRL32" s="672"/>
      <c r="GRM32" s="672"/>
      <c r="GRN32" s="672"/>
      <c r="GRO32" s="672"/>
      <c r="GRP32" s="672"/>
      <c r="GRQ32" s="672"/>
      <c r="GRR32" s="672"/>
      <c r="GRS32" s="672"/>
      <c r="GRT32" s="672"/>
      <c r="GRU32" s="672"/>
      <c r="GRV32" s="672"/>
      <c r="GRW32" s="672"/>
      <c r="GRX32" s="672"/>
      <c r="GRY32" s="672"/>
      <c r="GRZ32" s="672"/>
      <c r="GSA32" s="672"/>
      <c r="GSB32" s="672"/>
      <c r="GSC32" s="672"/>
      <c r="GSD32" s="672"/>
      <c r="GSE32" s="672"/>
      <c r="GSF32" s="672"/>
      <c r="GSG32" s="672"/>
      <c r="GSH32" s="672"/>
      <c r="GSI32" s="672"/>
      <c r="GSJ32" s="672"/>
      <c r="GSK32" s="672"/>
      <c r="GSL32" s="672"/>
      <c r="GSM32" s="672"/>
      <c r="GSN32" s="672"/>
      <c r="GSO32" s="672"/>
      <c r="GSP32" s="672"/>
      <c r="GSQ32" s="672"/>
      <c r="GSR32" s="672"/>
      <c r="GSS32" s="672"/>
      <c r="GST32" s="672"/>
      <c r="GSU32" s="672"/>
      <c r="GSV32" s="672"/>
      <c r="GSW32" s="672"/>
      <c r="GSX32" s="672"/>
      <c r="GSY32" s="672"/>
      <c r="GSZ32" s="672"/>
      <c r="GTA32" s="672"/>
      <c r="GTB32" s="672"/>
      <c r="GTC32" s="672"/>
      <c r="GTD32" s="672"/>
      <c r="GTE32" s="672"/>
      <c r="GTF32" s="672"/>
      <c r="GTG32" s="672"/>
      <c r="GTH32" s="672"/>
      <c r="GTI32" s="672"/>
      <c r="GTJ32" s="672"/>
      <c r="GTK32" s="672"/>
      <c r="GTL32" s="672"/>
      <c r="GTM32" s="672"/>
      <c r="GTN32" s="672"/>
      <c r="GTO32" s="672"/>
      <c r="GTP32" s="672"/>
      <c r="GTQ32" s="672"/>
      <c r="GTR32" s="672"/>
      <c r="GTS32" s="672"/>
      <c r="GTT32" s="672"/>
      <c r="GTU32" s="672"/>
      <c r="GTV32" s="672"/>
      <c r="GTW32" s="672"/>
      <c r="GTX32" s="672"/>
      <c r="GTY32" s="672"/>
      <c r="GTZ32" s="672"/>
      <c r="GUA32" s="672"/>
      <c r="GUB32" s="672"/>
      <c r="GUC32" s="672"/>
      <c r="GUD32" s="672"/>
      <c r="GUE32" s="672"/>
      <c r="GUF32" s="672"/>
      <c r="GUG32" s="672"/>
      <c r="GUH32" s="672"/>
      <c r="GUI32" s="672"/>
      <c r="GUJ32" s="672"/>
      <c r="GUK32" s="672"/>
      <c r="GUL32" s="672"/>
      <c r="GUM32" s="672"/>
      <c r="GUN32" s="672"/>
      <c r="GUO32" s="672"/>
      <c r="GUP32" s="672"/>
      <c r="GUQ32" s="672"/>
      <c r="GUR32" s="672"/>
      <c r="GUS32" s="672"/>
      <c r="GUT32" s="672"/>
      <c r="GUU32" s="672"/>
      <c r="GUV32" s="672"/>
      <c r="GUW32" s="672"/>
      <c r="GUX32" s="672"/>
      <c r="GUY32" s="672"/>
      <c r="GUZ32" s="672"/>
      <c r="GVA32" s="672"/>
      <c r="GVB32" s="672"/>
      <c r="GVC32" s="672"/>
      <c r="GVD32" s="672"/>
      <c r="GVE32" s="672"/>
      <c r="GVF32" s="672"/>
      <c r="GVG32" s="672"/>
      <c r="GVH32" s="672"/>
      <c r="GVI32" s="672"/>
      <c r="GVJ32" s="672"/>
      <c r="GVK32" s="672"/>
      <c r="GVL32" s="672"/>
      <c r="GVM32" s="672"/>
      <c r="GVN32" s="672"/>
      <c r="GVO32" s="672"/>
      <c r="GVP32" s="672"/>
      <c r="GVQ32" s="672"/>
      <c r="GVR32" s="672"/>
      <c r="GVS32" s="672"/>
      <c r="GVT32" s="672"/>
      <c r="GVU32" s="672"/>
      <c r="GVV32" s="672"/>
      <c r="GVW32" s="672"/>
      <c r="GVX32" s="672"/>
      <c r="GVY32" s="672"/>
      <c r="GVZ32" s="672"/>
      <c r="GWA32" s="672"/>
      <c r="GWB32" s="672"/>
      <c r="GWC32" s="672"/>
      <c r="GWD32" s="672"/>
      <c r="GWE32" s="672"/>
      <c r="GWF32" s="672"/>
      <c r="GWG32" s="672"/>
      <c r="GWH32" s="672"/>
      <c r="GWI32" s="672"/>
      <c r="GWJ32" s="672"/>
      <c r="GWK32" s="672"/>
      <c r="GWL32" s="672"/>
      <c r="GWM32" s="672"/>
      <c r="GWN32" s="672"/>
      <c r="GWO32" s="672"/>
      <c r="GWP32" s="672"/>
      <c r="GWQ32" s="672"/>
      <c r="GWR32" s="672"/>
      <c r="GWS32" s="672"/>
      <c r="GWT32" s="672"/>
      <c r="GWU32" s="672"/>
      <c r="GWV32" s="672"/>
      <c r="GWW32" s="672"/>
      <c r="GWX32" s="672"/>
      <c r="GWY32" s="672"/>
      <c r="GWZ32" s="672"/>
      <c r="GXA32" s="672"/>
      <c r="GXB32" s="672"/>
      <c r="GXC32" s="672"/>
      <c r="GXD32" s="672"/>
      <c r="GXE32" s="672"/>
      <c r="GXF32" s="672"/>
      <c r="GXG32" s="672"/>
      <c r="GXH32" s="672"/>
      <c r="GXI32" s="672"/>
      <c r="GXJ32" s="672"/>
      <c r="GXK32" s="672"/>
      <c r="GXL32" s="672"/>
      <c r="GXM32" s="672"/>
      <c r="GXN32" s="672"/>
      <c r="GXO32" s="672"/>
      <c r="GXP32" s="672"/>
      <c r="GXQ32" s="672"/>
      <c r="GXR32" s="672"/>
      <c r="GXS32" s="672"/>
      <c r="GXT32" s="672"/>
      <c r="GXU32" s="672"/>
      <c r="GXV32" s="672"/>
      <c r="GXW32" s="672"/>
      <c r="GXX32" s="672"/>
      <c r="GXY32" s="672"/>
      <c r="GXZ32" s="672"/>
      <c r="GYA32" s="672"/>
      <c r="GYB32" s="672"/>
      <c r="GYC32" s="672"/>
      <c r="GYD32" s="672"/>
      <c r="GYE32" s="672"/>
      <c r="GYF32" s="672"/>
      <c r="GYG32" s="672"/>
      <c r="GYH32" s="672"/>
      <c r="GYI32" s="672"/>
      <c r="GYJ32" s="672"/>
      <c r="GYK32" s="672"/>
      <c r="GYL32" s="672"/>
      <c r="GYM32" s="672"/>
      <c r="GYN32" s="672"/>
      <c r="GYO32" s="672"/>
      <c r="GYP32" s="672"/>
      <c r="GYQ32" s="672"/>
      <c r="GYR32" s="672"/>
      <c r="GYS32" s="672"/>
      <c r="GYT32" s="672"/>
      <c r="GYU32" s="672"/>
      <c r="GYV32" s="672"/>
      <c r="GYW32" s="672"/>
      <c r="GYX32" s="672"/>
      <c r="GYY32" s="672"/>
      <c r="GYZ32" s="672"/>
      <c r="GZA32" s="672"/>
      <c r="GZB32" s="672"/>
      <c r="GZC32" s="672"/>
      <c r="GZD32" s="672"/>
      <c r="GZE32" s="672"/>
      <c r="GZF32" s="672"/>
      <c r="GZG32" s="672"/>
      <c r="GZH32" s="672"/>
      <c r="GZI32" s="672"/>
      <c r="GZJ32" s="672"/>
      <c r="GZK32" s="672"/>
      <c r="GZL32" s="672"/>
      <c r="GZM32" s="672"/>
      <c r="GZN32" s="672"/>
      <c r="GZO32" s="672"/>
      <c r="GZP32" s="672"/>
      <c r="GZQ32" s="672"/>
      <c r="GZR32" s="672"/>
      <c r="GZS32" s="672"/>
      <c r="GZT32" s="672"/>
      <c r="GZU32" s="672"/>
      <c r="GZV32" s="672"/>
      <c r="GZW32" s="672"/>
      <c r="GZX32" s="672"/>
      <c r="GZY32" s="672"/>
      <c r="GZZ32" s="672"/>
      <c r="HAA32" s="672"/>
      <c r="HAB32" s="672"/>
      <c r="HAC32" s="672"/>
      <c r="HAD32" s="672"/>
      <c r="HAE32" s="672"/>
      <c r="HAF32" s="672"/>
      <c r="HAG32" s="672"/>
      <c r="HAH32" s="672"/>
      <c r="HAI32" s="672"/>
      <c r="HAJ32" s="672"/>
      <c r="HAK32" s="672"/>
      <c r="HAL32" s="672"/>
      <c r="HAM32" s="672"/>
      <c r="HAN32" s="672"/>
      <c r="HAO32" s="672"/>
      <c r="HAP32" s="672"/>
      <c r="HAQ32" s="672"/>
      <c r="HAR32" s="672"/>
      <c r="HAS32" s="672"/>
      <c r="HAT32" s="672"/>
      <c r="HAU32" s="672"/>
      <c r="HAV32" s="672"/>
      <c r="HAW32" s="672"/>
      <c r="HAX32" s="672"/>
      <c r="HAY32" s="672"/>
      <c r="HAZ32" s="672"/>
      <c r="HBA32" s="672"/>
      <c r="HBB32" s="672"/>
      <c r="HBC32" s="672"/>
      <c r="HBD32" s="672"/>
      <c r="HBE32" s="672"/>
      <c r="HBF32" s="672"/>
      <c r="HBG32" s="672"/>
      <c r="HBH32" s="672"/>
      <c r="HBI32" s="672"/>
      <c r="HBJ32" s="672"/>
      <c r="HBK32" s="672"/>
      <c r="HBL32" s="672"/>
      <c r="HBM32" s="672"/>
      <c r="HBN32" s="672"/>
      <c r="HBO32" s="672"/>
      <c r="HBP32" s="672"/>
      <c r="HBQ32" s="672"/>
      <c r="HBR32" s="672"/>
      <c r="HBS32" s="672"/>
      <c r="HBT32" s="672"/>
      <c r="HBU32" s="672"/>
      <c r="HBV32" s="672"/>
      <c r="HBW32" s="672"/>
      <c r="HBX32" s="672"/>
      <c r="HBY32" s="672"/>
      <c r="HBZ32" s="672"/>
      <c r="HCA32" s="672"/>
      <c r="HCB32" s="672"/>
      <c r="HCC32" s="672"/>
      <c r="HCD32" s="672"/>
      <c r="HCE32" s="672"/>
      <c r="HCF32" s="672"/>
      <c r="HCG32" s="672"/>
      <c r="HCH32" s="672"/>
      <c r="HCI32" s="672"/>
      <c r="HCJ32" s="672"/>
      <c r="HCK32" s="672"/>
      <c r="HCL32" s="672"/>
      <c r="HCM32" s="672"/>
      <c r="HCN32" s="672"/>
      <c r="HCO32" s="672"/>
      <c r="HCP32" s="672"/>
      <c r="HCQ32" s="672"/>
      <c r="HCR32" s="672"/>
      <c r="HCS32" s="672"/>
      <c r="HCT32" s="672"/>
      <c r="HCU32" s="672"/>
      <c r="HCV32" s="672"/>
      <c r="HCW32" s="672"/>
      <c r="HCX32" s="672"/>
      <c r="HCY32" s="672"/>
      <c r="HCZ32" s="672"/>
      <c r="HDA32" s="672"/>
      <c r="HDB32" s="672"/>
      <c r="HDC32" s="672"/>
      <c r="HDD32" s="672"/>
      <c r="HDE32" s="672"/>
      <c r="HDF32" s="672"/>
      <c r="HDG32" s="672"/>
      <c r="HDH32" s="672"/>
      <c r="HDI32" s="672"/>
      <c r="HDJ32" s="672"/>
      <c r="HDK32" s="672"/>
      <c r="HDL32" s="672"/>
      <c r="HDM32" s="672"/>
      <c r="HDN32" s="672"/>
      <c r="HDO32" s="672"/>
      <c r="HDP32" s="672"/>
      <c r="HDQ32" s="672"/>
      <c r="HDR32" s="672"/>
      <c r="HDS32" s="672"/>
      <c r="HDT32" s="672"/>
      <c r="HDU32" s="672"/>
      <c r="HDV32" s="672"/>
      <c r="HDW32" s="672"/>
      <c r="HDX32" s="672"/>
      <c r="HDY32" s="672"/>
      <c r="HDZ32" s="672"/>
      <c r="HEA32" s="672"/>
      <c r="HEB32" s="672"/>
      <c r="HEC32" s="672"/>
      <c r="HED32" s="672"/>
      <c r="HEE32" s="672"/>
      <c r="HEF32" s="672"/>
      <c r="HEG32" s="672"/>
      <c r="HEH32" s="672"/>
      <c r="HEI32" s="672"/>
      <c r="HEJ32" s="672"/>
      <c r="HEK32" s="672"/>
      <c r="HEL32" s="672"/>
      <c r="HEM32" s="672"/>
      <c r="HEN32" s="672"/>
      <c r="HEO32" s="672"/>
      <c r="HEP32" s="672"/>
      <c r="HEQ32" s="672"/>
      <c r="HER32" s="672"/>
      <c r="HES32" s="672"/>
      <c r="HET32" s="672"/>
      <c r="HEU32" s="672"/>
      <c r="HEV32" s="672"/>
      <c r="HEW32" s="672"/>
      <c r="HEX32" s="672"/>
      <c r="HEY32" s="672"/>
      <c r="HEZ32" s="672"/>
      <c r="HFA32" s="672"/>
      <c r="HFB32" s="672"/>
      <c r="HFC32" s="672"/>
      <c r="HFD32" s="672"/>
      <c r="HFE32" s="672"/>
      <c r="HFF32" s="672"/>
      <c r="HFG32" s="672"/>
      <c r="HFH32" s="672"/>
      <c r="HFI32" s="672"/>
      <c r="HFJ32" s="672"/>
      <c r="HFK32" s="672"/>
      <c r="HFL32" s="672"/>
      <c r="HFM32" s="672"/>
      <c r="HFN32" s="672"/>
      <c r="HFO32" s="672"/>
      <c r="HFP32" s="672"/>
      <c r="HFQ32" s="672"/>
      <c r="HFR32" s="672"/>
      <c r="HFS32" s="672"/>
      <c r="HFT32" s="672"/>
      <c r="HFU32" s="672"/>
      <c r="HFV32" s="672"/>
      <c r="HFW32" s="672"/>
      <c r="HFX32" s="672"/>
      <c r="HFY32" s="672"/>
      <c r="HFZ32" s="672"/>
      <c r="HGA32" s="672"/>
      <c r="HGB32" s="672"/>
      <c r="HGC32" s="672"/>
      <c r="HGD32" s="672"/>
      <c r="HGE32" s="672"/>
      <c r="HGF32" s="672"/>
      <c r="HGG32" s="672"/>
      <c r="HGH32" s="672"/>
      <c r="HGI32" s="672"/>
      <c r="HGJ32" s="672"/>
      <c r="HGK32" s="672"/>
      <c r="HGL32" s="672"/>
      <c r="HGM32" s="672"/>
      <c r="HGN32" s="672"/>
      <c r="HGO32" s="672"/>
      <c r="HGP32" s="672"/>
      <c r="HGQ32" s="672"/>
      <c r="HGR32" s="672"/>
      <c r="HGS32" s="672"/>
      <c r="HGT32" s="672"/>
      <c r="HGU32" s="672"/>
      <c r="HGV32" s="672"/>
      <c r="HGW32" s="672"/>
      <c r="HGX32" s="672"/>
      <c r="HGY32" s="672"/>
      <c r="HGZ32" s="672"/>
      <c r="HHA32" s="672"/>
      <c r="HHB32" s="672"/>
      <c r="HHC32" s="672"/>
      <c r="HHD32" s="672"/>
      <c r="HHE32" s="672"/>
      <c r="HHF32" s="672"/>
      <c r="HHG32" s="672"/>
      <c r="HHH32" s="672"/>
      <c r="HHI32" s="672"/>
      <c r="HHJ32" s="672"/>
      <c r="HHK32" s="672"/>
      <c r="HHL32" s="672"/>
      <c r="HHM32" s="672"/>
      <c r="HHN32" s="672"/>
      <c r="HHO32" s="672"/>
      <c r="HHP32" s="672"/>
      <c r="HHQ32" s="672"/>
      <c r="HHR32" s="672"/>
      <c r="HHS32" s="672"/>
      <c r="HHT32" s="672"/>
      <c r="HHU32" s="672"/>
      <c r="HHV32" s="672"/>
      <c r="HHW32" s="672"/>
      <c r="HHX32" s="672"/>
      <c r="HHY32" s="672"/>
      <c r="HHZ32" s="672"/>
      <c r="HIA32" s="672"/>
      <c r="HIB32" s="672"/>
      <c r="HIC32" s="672"/>
      <c r="HID32" s="672"/>
      <c r="HIE32" s="672"/>
      <c r="HIF32" s="672"/>
      <c r="HIG32" s="672"/>
      <c r="HIH32" s="672"/>
      <c r="HII32" s="672"/>
      <c r="HIJ32" s="672"/>
      <c r="HIK32" s="672"/>
      <c r="HIL32" s="672"/>
      <c r="HIM32" s="672"/>
      <c r="HIN32" s="672"/>
      <c r="HIO32" s="672"/>
      <c r="HIP32" s="672"/>
      <c r="HIQ32" s="672"/>
      <c r="HIR32" s="672"/>
      <c r="HIS32" s="672"/>
      <c r="HIT32" s="672"/>
      <c r="HIU32" s="672"/>
      <c r="HIV32" s="672"/>
      <c r="HIW32" s="672"/>
      <c r="HIX32" s="672"/>
      <c r="HIY32" s="672"/>
      <c r="HIZ32" s="672"/>
      <c r="HJA32" s="672"/>
      <c r="HJB32" s="672"/>
      <c r="HJC32" s="672"/>
      <c r="HJD32" s="672"/>
      <c r="HJE32" s="672"/>
      <c r="HJF32" s="672"/>
      <c r="HJG32" s="672"/>
      <c r="HJH32" s="672"/>
      <c r="HJI32" s="672"/>
      <c r="HJJ32" s="672"/>
      <c r="HJK32" s="672"/>
      <c r="HJL32" s="672"/>
      <c r="HJM32" s="672"/>
      <c r="HJN32" s="672"/>
      <c r="HJO32" s="672"/>
      <c r="HJP32" s="672"/>
      <c r="HJQ32" s="672"/>
      <c r="HJR32" s="672"/>
      <c r="HJS32" s="672"/>
      <c r="HJT32" s="672"/>
      <c r="HJU32" s="672"/>
      <c r="HJV32" s="672"/>
      <c r="HJW32" s="672"/>
      <c r="HJX32" s="672"/>
      <c r="HJY32" s="672"/>
      <c r="HJZ32" s="672"/>
      <c r="HKA32" s="672"/>
      <c r="HKB32" s="672"/>
      <c r="HKC32" s="672"/>
      <c r="HKD32" s="672"/>
      <c r="HKE32" s="672"/>
      <c r="HKF32" s="672"/>
      <c r="HKG32" s="672"/>
      <c r="HKH32" s="672"/>
      <c r="HKI32" s="672"/>
      <c r="HKJ32" s="672"/>
      <c r="HKK32" s="672"/>
      <c r="HKL32" s="672"/>
      <c r="HKM32" s="672"/>
      <c r="HKN32" s="672"/>
      <c r="HKO32" s="672"/>
      <c r="HKP32" s="672"/>
      <c r="HKQ32" s="672"/>
      <c r="HKR32" s="672"/>
      <c r="HKS32" s="672"/>
      <c r="HKT32" s="672"/>
      <c r="HKU32" s="672"/>
      <c r="HKV32" s="672"/>
      <c r="HKW32" s="672"/>
      <c r="HKX32" s="672"/>
      <c r="HKY32" s="672"/>
      <c r="HKZ32" s="672"/>
      <c r="HLA32" s="672"/>
      <c r="HLB32" s="672"/>
      <c r="HLC32" s="672"/>
      <c r="HLD32" s="672"/>
      <c r="HLE32" s="672"/>
      <c r="HLF32" s="672"/>
      <c r="HLG32" s="672"/>
      <c r="HLH32" s="672"/>
      <c r="HLI32" s="672"/>
      <c r="HLJ32" s="672"/>
      <c r="HLK32" s="672"/>
      <c r="HLL32" s="672"/>
      <c r="HLM32" s="672"/>
      <c r="HLN32" s="672"/>
      <c r="HLO32" s="672"/>
      <c r="HLP32" s="672"/>
      <c r="HLQ32" s="672"/>
      <c r="HLR32" s="672"/>
      <c r="HLS32" s="672"/>
      <c r="HLT32" s="672"/>
      <c r="HLU32" s="672"/>
      <c r="HLV32" s="672"/>
      <c r="HLW32" s="672"/>
      <c r="HLX32" s="672"/>
      <c r="HLY32" s="672"/>
      <c r="HLZ32" s="672"/>
      <c r="HMA32" s="672"/>
      <c r="HMB32" s="672"/>
      <c r="HMC32" s="672"/>
      <c r="HMD32" s="672"/>
      <c r="HME32" s="672"/>
      <c r="HMF32" s="672"/>
      <c r="HMG32" s="672"/>
      <c r="HMH32" s="672"/>
      <c r="HMI32" s="672"/>
      <c r="HMJ32" s="672"/>
      <c r="HMK32" s="672"/>
      <c r="HML32" s="672"/>
      <c r="HMM32" s="672"/>
      <c r="HMN32" s="672"/>
      <c r="HMO32" s="672"/>
      <c r="HMP32" s="672"/>
      <c r="HMQ32" s="672"/>
      <c r="HMR32" s="672"/>
      <c r="HMS32" s="672"/>
      <c r="HMT32" s="672"/>
      <c r="HMU32" s="672"/>
      <c r="HMV32" s="672"/>
      <c r="HMW32" s="672"/>
      <c r="HMX32" s="672"/>
      <c r="HMY32" s="672"/>
      <c r="HMZ32" s="672"/>
      <c r="HNA32" s="672"/>
      <c r="HNB32" s="672"/>
      <c r="HNC32" s="672"/>
      <c r="HND32" s="672"/>
      <c r="HNE32" s="672"/>
      <c r="HNF32" s="672"/>
      <c r="HNG32" s="672"/>
      <c r="HNH32" s="672"/>
      <c r="HNI32" s="672"/>
      <c r="HNJ32" s="672"/>
      <c r="HNK32" s="672"/>
      <c r="HNL32" s="672"/>
      <c r="HNM32" s="672"/>
      <c r="HNN32" s="672"/>
      <c r="HNO32" s="672"/>
      <c r="HNP32" s="672"/>
      <c r="HNQ32" s="672"/>
      <c r="HNR32" s="672"/>
      <c r="HNS32" s="672"/>
      <c r="HNT32" s="672"/>
      <c r="HNU32" s="672"/>
      <c r="HNV32" s="672"/>
      <c r="HNW32" s="672"/>
      <c r="HNX32" s="672"/>
      <c r="HNY32" s="672"/>
      <c r="HNZ32" s="672"/>
      <c r="HOA32" s="672"/>
      <c r="HOB32" s="672"/>
      <c r="HOC32" s="672"/>
      <c r="HOD32" s="672"/>
      <c r="HOE32" s="672"/>
      <c r="HOF32" s="672"/>
      <c r="HOG32" s="672"/>
      <c r="HOH32" s="672"/>
      <c r="HOI32" s="672"/>
      <c r="HOJ32" s="672"/>
      <c r="HOK32" s="672"/>
      <c r="HOL32" s="672"/>
      <c r="HOM32" s="672"/>
      <c r="HON32" s="672"/>
      <c r="HOO32" s="672"/>
      <c r="HOP32" s="672"/>
      <c r="HOQ32" s="672"/>
      <c r="HOR32" s="672"/>
      <c r="HOS32" s="672"/>
      <c r="HOT32" s="672"/>
      <c r="HOU32" s="672"/>
      <c r="HOV32" s="672"/>
      <c r="HOW32" s="672"/>
      <c r="HOX32" s="672"/>
      <c r="HOY32" s="672"/>
      <c r="HOZ32" s="672"/>
      <c r="HPA32" s="672"/>
      <c r="HPB32" s="672"/>
      <c r="HPC32" s="672"/>
      <c r="HPD32" s="672"/>
      <c r="HPE32" s="672"/>
      <c r="HPF32" s="672"/>
      <c r="HPG32" s="672"/>
      <c r="HPH32" s="672"/>
      <c r="HPI32" s="672"/>
      <c r="HPJ32" s="672"/>
      <c r="HPK32" s="672"/>
      <c r="HPL32" s="672"/>
      <c r="HPM32" s="672"/>
      <c r="HPN32" s="672"/>
      <c r="HPO32" s="672"/>
      <c r="HPP32" s="672"/>
      <c r="HPQ32" s="672"/>
      <c r="HPR32" s="672"/>
      <c r="HPS32" s="672"/>
      <c r="HPT32" s="672"/>
      <c r="HPU32" s="672"/>
      <c r="HPV32" s="672"/>
      <c r="HPW32" s="672"/>
      <c r="HPX32" s="672"/>
      <c r="HPY32" s="672"/>
      <c r="HPZ32" s="672"/>
      <c r="HQA32" s="672"/>
      <c r="HQB32" s="672"/>
      <c r="HQC32" s="672"/>
      <c r="HQD32" s="672"/>
      <c r="HQE32" s="672"/>
      <c r="HQF32" s="672"/>
      <c r="HQG32" s="672"/>
      <c r="HQH32" s="672"/>
      <c r="HQI32" s="672"/>
      <c r="HQJ32" s="672"/>
      <c r="HQK32" s="672"/>
      <c r="HQL32" s="672"/>
      <c r="HQM32" s="672"/>
      <c r="HQN32" s="672"/>
      <c r="HQO32" s="672"/>
      <c r="HQP32" s="672"/>
      <c r="HQQ32" s="672"/>
      <c r="HQR32" s="672"/>
      <c r="HQS32" s="672"/>
      <c r="HQT32" s="672"/>
      <c r="HQU32" s="672"/>
      <c r="HQV32" s="672"/>
      <c r="HQW32" s="672"/>
      <c r="HQX32" s="672"/>
      <c r="HQY32" s="672"/>
      <c r="HQZ32" s="672"/>
      <c r="HRA32" s="672"/>
      <c r="HRB32" s="672"/>
      <c r="HRC32" s="672"/>
      <c r="HRD32" s="672"/>
      <c r="HRE32" s="672"/>
      <c r="HRF32" s="672"/>
      <c r="HRG32" s="672"/>
      <c r="HRH32" s="672"/>
      <c r="HRI32" s="672"/>
      <c r="HRJ32" s="672"/>
      <c r="HRK32" s="672"/>
      <c r="HRL32" s="672"/>
      <c r="HRM32" s="672"/>
      <c r="HRN32" s="672"/>
      <c r="HRO32" s="672"/>
      <c r="HRP32" s="672"/>
      <c r="HRQ32" s="672"/>
      <c r="HRR32" s="672"/>
      <c r="HRS32" s="672"/>
      <c r="HRT32" s="672"/>
      <c r="HRU32" s="672"/>
      <c r="HRV32" s="672"/>
      <c r="HRW32" s="672"/>
      <c r="HRX32" s="672"/>
      <c r="HRY32" s="672"/>
      <c r="HRZ32" s="672"/>
      <c r="HSA32" s="672"/>
      <c r="HSB32" s="672"/>
      <c r="HSC32" s="672"/>
      <c r="HSD32" s="672"/>
      <c r="HSE32" s="672"/>
      <c r="HSF32" s="672"/>
      <c r="HSG32" s="672"/>
      <c r="HSH32" s="672"/>
      <c r="HSI32" s="672"/>
      <c r="HSJ32" s="672"/>
      <c r="HSK32" s="672"/>
      <c r="HSL32" s="672"/>
      <c r="HSM32" s="672"/>
      <c r="HSN32" s="672"/>
      <c r="HSO32" s="672"/>
      <c r="HSP32" s="672"/>
      <c r="HSQ32" s="672"/>
      <c r="HSR32" s="672"/>
      <c r="HSS32" s="672"/>
      <c r="HST32" s="672"/>
      <c r="HSU32" s="672"/>
      <c r="HSV32" s="672"/>
      <c r="HSW32" s="672"/>
      <c r="HSX32" s="672"/>
      <c r="HSY32" s="672"/>
      <c r="HSZ32" s="672"/>
      <c r="HTA32" s="672"/>
      <c r="HTB32" s="672"/>
      <c r="HTC32" s="672"/>
      <c r="HTD32" s="672"/>
      <c r="HTE32" s="672"/>
      <c r="HTF32" s="672"/>
      <c r="HTG32" s="672"/>
      <c r="HTH32" s="672"/>
      <c r="HTI32" s="672"/>
      <c r="HTJ32" s="672"/>
      <c r="HTK32" s="672"/>
      <c r="HTL32" s="672"/>
      <c r="HTM32" s="672"/>
      <c r="HTN32" s="672"/>
      <c r="HTO32" s="672"/>
      <c r="HTP32" s="672"/>
      <c r="HTQ32" s="672"/>
      <c r="HTR32" s="672"/>
      <c r="HTS32" s="672"/>
      <c r="HTT32" s="672"/>
      <c r="HTU32" s="672"/>
      <c r="HTV32" s="672"/>
      <c r="HTW32" s="672"/>
      <c r="HTX32" s="672"/>
      <c r="HTY32" s="672"/>
      <c r="HTZ32" s="672"/>
      <c r="HUA32" s="672"/>
      <c r="HUB32" s="672"/>
      <c r="HUC32" s="672"/>
      <c r="HUD32" s="672"/>
      <c r="HUE32" s="672"/>
      <c r="HUF32" s="672"/>
      <c r="HUG32" s="672"/>
      <c r="HUH32" s="672"/>
      <c r="HUI32" s="672"/>
      <c r="HUJ32" s="672"/>
      <c r="HUK32" s="672"/>
      <c r="HUL32" s="672"/>
      <c r="HUM32" s="672"/>
      <c r="HUN32" s="672"/>
      <c r="HUO32" s="672"/>
      <c r="HUP32" s="672"/>
      <c r="HUQ32" s="672"/>
      <c r="HUR32" s="672"/>
      <c r="HUS32" s="672"/>
      <c r="HUT32" s="672"/>
      <c r="HUU32" s="672"/>
      <c r="HUV32" s="672"/>
      <c r="HUW32" s="672"/>
      <c r="HUX32" s="672"/>
      <c r="HUY32" s="672"/>
      <c r="HUZ32" s="672"/>
      <c r="HVA32" s="672"/>
      <c r="HVB32" s="672"/>
      <c r="HVC32" s="672"/>
      <c r="HVD32" s="672"/>
      <c r="HVE32" s="672"/>
      <c r="HVF32" s="672"/>
      <c r="HVG32" s="672"/>
      <c r="HVH32" s="672"/>
      <c r="HVI32" s="672"/>
      <c r="HVJ32" s="672"/>
      <c r="HVK32" s="672"/>
      <c r="HVL32" s="672"/>
      <c r="HVM32" s="672"/>
      <c r="HVN32" s="672"/>
      <c r="HVO32" s="672"/>
      <c r="HVP32" s="672"/>
      <c r="HVQ32" s="672"/>
      <c r="HVR32" s="672"/>
      <c r="HVS32" s="672"/>
      <c r="HVT32" s="672"/>
      <c r="HVU32" s="672"/>
      <c r="HVV32" s="672"/>
      <c r="HVW32" s="672"/>
      <c r="HVX32" s="672"/>
      <c r="HVY32" s="672"/>
      <c r="HVZ32" s="672"/>
      <c r="HWA32" s="672"/>
      <c r="HWB32" s="672"/>
      <c r="HWC32" s="672"/>
      <c r="HWD32" s="672"/>
      <c r="HWE32" s="672"/>
      <c r="HWF32" s="672"/>
      <c r="HWG32" s="672"/>
      <c r="HWH32" s="672"/>
      <c r="HWI32" s="672"/>
      <c r="HWJ32" s="672"/>
      <c r="HWK32" s="672"/>
      <c r="HWL32" s="672"/>
      <c r="HWM32" s="672"/>
      <c r="HWN32" s="672"/>
      <c r="HWO32" s="672"/>
      <c r="HWP32" s="672"/>
      <c r="HWQ32" s="672"/>
      <c r="HWR32" s="672"/>
      <c r="HWS32" s="672"/>
      <c r="HWT32" s="672"/>
      <c r="HWU32" s="672"/>
      <c r="HWV32" s="672"/>
      <c r="HWW32" s="672"/>
      <c r="HWX32" s="672"/>
      <c r="HWY32" s="672"/>
      <c r="HWZ32" s="672"/>
      <c r="HXA32" s="672"/>
      <c r="HXB32" s="672"/>
      <c r="HXC32" s="672"/>
      <c r="HXD32" s="672"/>
      <c r="HXE32" s="672"/>
      <c r="HXF32" s="672"/>
      <c r="HXG32" s="672"/>
      <c r="HXH32" s="672"/>
      <c r="HXI32" s="672"/>
      <c r="HXJ32" s="672"/>
      <c r="HXK32" s="672"/>
      <c r="HXL32" s="672"/>
      <c r="HXM32" s="672"/>
      <c r="HXN32" s="672"/>
      <c r="HXO32" s="672"/>
      <c r="HXP32" s="672"/>
      <c r="HXQ32" s="672"/>
      <c r="HXR32" s="672"/>
      <c r="HXS32" s="672"/>
      <c r="HXT32" s="672"/>
      <c r="HXU32" s="672"/>
      <c r="HXV32" s="672"/>
      <c r="HXW32" s="672"/>
      <c r="HXX32" s="672"/>
      <c r="HXY32" s="672"/>
      <c r="HXZ32" s="672"/>
      <c r="HYA32" s="672"/>
      <c r="HYB32" s="672"/>
      <c r="HYC32" s="672"/>
      <c r="HYD32" s="672"/>
      <c r="HYE32" s="672"/>
      <c r="HYF32" s="672"/>
      <c r="HYG32" s="672"/>
      <c r="HYH32" s="672"/>
      <c r="HYI32" s="672"/>
      <c r="HYJ32" s="672"/>
      <c r="HYK32" s="672"/>
      <c r="HYL32" s="672"/>
      <c r="HYM32" s="672"/>
      <c r="HYN32" s="672"/>
      <c r="HYO32" s="672"/>
      <c r="HYP32" s="672"/>
      <c r="HYQ32" s="672"/>
      <c r="HYR32" s="672"/>
      <c r="HYS32" s="672"/>
      <c r="HYT32" s="672"/>
      <c r="HYU32" s="672"/>
      <c r="HYV32" s="672"/>
      <c r="HYW32" s="672"/>
      <c r="HYX32" s="672"/>
      <c r="HYY32" s="672"/>
      <c r="HYZ32" s="672"/>
      <c r="HZA32" s="672"/>
      <c r="HZB32" s="672"/>
      <c r="HZC32" s="672"/>
      <c r="HZD32" s="672"/>
      <c r="HZE32" s="672"/>
      <c r="HZF32" s="672"/>
      <c r="HZG32" s="672"/>
      <c r="HZH32" s="672"/>
      <c r="HZI32" s="672"/>
      <c r="HZJ32" s="672"/>
      <c r="HZK32" s="672"/>
      <c r="HZL32" s="672"/>
      <c r="HZM32" s="672"/>
      <c r="HZN32" s="672"/>
      <c r="HZO32" s="672"/>
      <c r="HZP32" s="672"/>
      <c r="HZQ32" s="672"/>
      <c r="HZR32" s="672"/>
      <c r="HZS32" s="672"/>
      <c r="HZT32" s="672"/>
      <c r="HZU32" s="672"/>
      <c r="HZV32" s="672"/>
      <c r="HZW32" s="672"/>
      <c r="HZX32" s="672"/>
      <c r="HZY32" s="672"/>
      <c r="HZZ32" s="672"/>
      <c r="IAA32" s="672"/>
      <c r="IAB32" s="672"/>
      <c r="IAC32" s="672"/>
      <c r="IAD32" s="672"/>
      <c r="IAE32" s="672"/>
      <c r="IAF32" s="672"/>
      <c r="IAG32" s="672"/>
      <c r="IAH32" s="672"/>
      <c r="IAI32" s="672"/>
      <c r="IAJ32" s="672"/>
      <c r="IAK32" s="672"/>
      <c r="IAL32" s="672"/>
      <c r="IAM32" s="672"/>
      <c r="IAN32" s="672"/>
      <c r="IAO32" s="672"/>
      <c r="IAP32" s="672"/>
      <c r="IAQ32" s="672"/>
      <c r="IAR32" s="672"/>
      <c r="IAS32" s="672"/>
      <c r="IAT32" s="672"/>
      <c r="IAU32" s="672"/>
      <c r="IAV32" s="672"/>
      <c r="IAW32" s="672"/>
      <c r="IAX32" s="672"/>
      <c r="IAY32" s="672"/>
      <c r="IAZ32" s="672"/>
      <c r="IBA32" s="672"/>
      <c r="IBB32" s="672"/>
      <c r="IBC32" s="672"/>
      <c r="IBD32" s="672"/>
      <c r="IBE32" s="672"/>
      <c r="IBF32" s="672"/>
      <c r="IBG32" s="672"/>
      <c r="IBH32" s="672"/>
      <c r="IBI32" s="672"/>
      <c r="IBJ32" s="672"/>
      <c r="IBK32" s="672"/>
      <c r="IBL32" s="672"/>
      <c r="IBM32" s="672"/>
      <c r="IBN32" s="672"/>
      <c r="IBO32" s="672"/>
      <c r="IBP32" s="672"/>
      <c r="IBQ32" s="672"/>
      <c r="IBR32" s="672"/>
      <c r="IBS32" s="672"/>
      <c r="IBT32" s="672"/>
      <c r="IBU32" s="672"/>
      <c r="IBV32" s="672"/>
      <c r="IBW32" s="672"/>
      <c r="IBX32" s="672"/>
      <c r="IBY32" s="672"/>
      <c r="IBZ32" s="672"/>
      <c r="ICA32" s="672"/>
      <c r="ICB32" s="672"/>
      <c r="ICC32" s="672"/>
      <c r="ICD32" s="672"/>
      <c r="ICE32" s="672"/>
      <c r="ICF32" s="672"/>
      <c r="ICG32" s="672"/>
      <c r="ICH32" s="672"/>
      <c r="ICI32" s="672"/>
      <c r="ICJ32" s="672"/>
      <c r="ICK32" s="672"/>
      <c r="ICL32" s="672"/>
      <c r="ICM32" s="672"/>
      <c r="ICN32" s="672"/>
      <c r="ICO32" s="672"/>
      <c r="ICP32" s="672"/>
      <c r="ICQ32" s="672"/>
      <c r="ICR32" s="672"/>
      <c r="ICS32" s="672"/>
      <c r="ICT32" s="672"/>
      <c r="ICU32" s="672"/>
      <c r="ICV32" s="672"/>
      <c r="ICW32" s="672"/>
      <c r="ICX32" s="672"/>
      <c r="ICY32" s="672"/>
      <c r="ICZ32" s="672"/>
      <c r="IDA32" s="672"/>
      <c r="IDB32" s="672"/>
      <c r="IDC32" s="672"/>
      <c r="IDD32" s="672"/>
      <c r="IDE32" s="672"/>
      <c r="IDF32" s="672"/>
      <c r="IDG32" s="672"/>
      <c r="IDH32" s="672"/>
      <c r="IDI32" s="672"/>
      <c r="IDJ32" s="672"/>
      <c r="IDK32" s="672"/>
      <c r="IDL32" s="672"/>
      <c r="IDM32" s="672"/>
      <c r="IDN32" s="672"/>
      <c r="IDO32" s="672"/>
      <c r="IDP32" s="672"/>
      <c r="IDQ32" s="672"/>
      <c r="IDR32" s="672"/>
      <c r="IDS32" s="672"/>
      <c r="IDT32" s="672"/>
      <c r="IDU32" s="672"/>
      <c r="IDV32" s="672"/>
      <c r="IDW32" s="672"/>
      <c r="IDX32" s="672"/>
      <c r="IDY32" s="672"/>
      <c r="IDZ32" s="672"/>
      <c r="IEA32" s="672"/>
      <c r="IEB32" s="672"/>
      <c r="IEC32" s="672"/>
      <c r="IED32" s="672"/>
      <c r="IEE32" s="672"/>
      <c r="IEF32" s="672"/>
      <c r="IEG32" s="672"/>
      <c r="IEH32" s="672"/>
      <c r="IEI32" s="672"/>
      <c r="IEJ32" s="672"/>
      <c r="IEK32" s="672"/>
      <c r="IEL32" s="672"/>
      <c r="IEM32" s="672"/>
      <c r="IEN32" s="672"/>
      <c r="IEO32" s="672"/>
      <c r="IEP32" s="672"/>
      <c r="IEQ32" s="672"/>
      <c r="IER32" s="672"/>
      <c r="IES32" s="672"/>
      <c r="IET32" s="672"/>
      <c r="IEU32" s="672"/>
      <c r="IEV32" s="672"/>
      <c r="IEW32" s="672"/>
      <c r="IEX32" s="672"/>
      <c r="IEY32" s="672"/>
      <c r="IEZ32" s="672"/>
      <c r="IFA32" s="672"/>
      <c r="IFB32" s="672"/>
      <c r="IFC32" s="672"/>
      <c r="IFD32" s="672"/>
      <c r="IFE32" s="672"/>
      <c r="IFF32" s="672"/>
      <c r="IFG32" s="672"/>
      <c r="IFH32" s="672"/>
      <c r="IFI32" s="672"/>
      <c r="IFJ32" s="672"/>
      <c r="IFK32" s="672"/>
      <c r="IFL32" s="672"/>
      <c r="IFM32" s="672"/>
      <c r="IFN32" s="672"/>
      <c r="IFO32" s="672"/>
      <c r="IFP32" s="672"/>
      <c r="IFQ32" s="672"/>
      <c r="IFR32" s="672"/>
      <c r="IFS32" s="672"/>
      <c r="IFT32" s="672"/>
      <c r="IFU32" s="672"/>
      <c r="IFV32" s="672"/>
      <c r="IFW32" s="672"/>
      <c r="IFX32" s="672"/>
      <c r="IFY32" s="672"/>
      <c r="IFZ32" s="672"/>
      <c r="IGA32" s="672"/>
      <c r="IGB32" s="672"/>
      <c r="IGC32" s="672"/>
      <c r="IGD32" s="672"/>
      <c r="IGE32" s="672"/>
      <c r="IGF32" s="672"/>
      <c r="IGG32" s="672"/>
      <c r="IGH32" s="672"/>
      <c r="IGI32" s="672"/>
      <c r="IGJ32" s="672"/>
      <c r="IGK32" s="672"/>
      <c r="IGL32" s="672"/>
      <c r="IGM32" s="672"/>
      <c r="IGN32" s="672"/>
      <c r="IGO32" s="672"/>
      <c r="IGP32" s="672"/>
      <c r="IGQ32" s="672"/>
      <c r="IGR32" s="672"/>
      <c r="IGS32" s="672"/>
      <c r="IGT32" s="672"/>
      <c r="IGU32" s="672"/>
      <c r="IGV32" s="672"/>
      <c r="IGW32" s="672"/>
      <c r="IGX32" s="672"/>
      <c r="IGY32" s="672"/>
      <c r="IGZ32" s="672"/>
      <c r="IHA32" s="672"/>
      <c r="IHB32" s="672"/>
      <c r="IHC32" s="672"/>
      <c r="IHD32" s="672"/>
      <c r="IHE32" s="672"/>
      <c r="IHF32" s="672"/>
      <c r="IHG32" s="672"/>
      <c r="IHH32" s="672"/>
      <c r="IHI32" s="672"/>
      <c r="IHJ32" s="672"/>
      <c r="IHK32" s="672"/>
      <c r="IHL32" s="672"/>
      <c r="IHM32" s="672"/>
      <c r="IHN32" s="672"/>
      <c r="IHO32" s="672"/>
      <c r="IHP32" s="672"/>
      <c r="IHQ32" s="672"/>
      <c r="IHR32" s="672"/>
      <c r="IHS32" s="672"/>
      <c r="IHT32" s="672"/>
      <c r="IHU32" s="672"/>
      <c r="IHV32" s="672"/>
      <c r="IHW32" s="672"/>
      <c r="IHX32" s="672"/>
      <c r="IHY32" s="672"/>
      <c r="IHZ32" s="672"/>
      <c r="IIA32" s="672"/>
      <c r="IIB32" s="672"/>
      <c r="IIC32" s="672"/>
      <c r="IID32" s="672"/>
      <c r="IIE32" s="672"/>
      <c r="IIF32" s="672"/>
      <c r="IIG32" s="672"/>
      <c r="IIH32" s="672"/>
      <c r="III32" s="672"/>
      <c r="IIJ32" s="672"/>
      <c r="IIK32" s="672"/>
      <c r="IIL32" s="672"/>
      <c r="IIM32" s="672"/>
      <c r="IIN32" s="672"/>
      <c r="IIO32" s="672"/>
      <c r="IIP32" s="672"/>
      <c r="IIQ32" s="672"/>
      <c r="IIR32" s="672"/>
      <c r="IIS32" s="672"/>
      <c r="IIT32" s="672"/>
      <c r="IIU32" s="672"/>
      <c r="IIV32" s="672"/>
      <c r="IIW32" s="672"/>
      <c r="IIX32" s="672"/>
      <c r="IIY32" s="672"/>
      <c r="IIZ32" s="672"/>
      <c r="IJA32" s="672"/>
      <c r="IJB32" s="672"/>
      <c r="IJC32" s="672"/>
      <c r="IJD32" s="672"/>
      <c r="IJE32" s="672"/>
      <c r="IJF32" s="672"/>
      <c r="IJG32" s="672"/>
      <c r="IJH32" s="672"/>
      <c r="IJI32" s="672"/>
      <c r="IJJ32" s="672"/>
      <c r="IJK32" s="672"/>
      <c r="IJL32" s="672"/>
      <c r="IJM32" s="672"/>
      <c r="IJN32" s="672"/>
      <c r="IJO32" s="672"/>
      <c r="IJP32" s="672"/>
      <c r="IJQ32" s="672"/>
      <c r="IJR32" s="672"/>
      <c r="IJS32" s="672"/>
      <c r="IJT32" s="672"/>
      <c r="IJU32" s="672"/>
      <c r="IJV32" s="672"/>
      <c r="IJW32" s="672"/>
      <c r="IJX32" s="672"/>
      <c r="IJY32" s="672"/>
      <c r="IJZ32" s="672"/>
      <c r="IKA32" s="672"/>
      <c r="IKB32" s="672"/>
      <c r="IKC32" s="672"/>
      <c r="IKD32" s="672"/>
      <c r="IKE32" s="672"/>
      <c r="IKF32" s="672"/>
      <c r="IKG32" s="672"/>
      <c r="IKH32" s="672"/>
      <c r="IKI32" s="672"/>
      <c r="IKJ32" s="672"/>
      <c r="IKK32" s="672"/>
      <c r="IKL32" s="672"/>
      <c r="IKM32" s="672"/>
      <c r="IKN32" s="672"/>
      <c r="IKO32" s="672"/>
      <c r="IKP32" s="672"/>
      <c r="IKQ32" s="672"/>
      <c r="IKR32" s="672"/>
      <c r="IKS32" s="672"/>
      <c r="IKT32" s="672"/>
      <c r="IKU32" s="672"/>
      <c r="IKV32" s="672"/>
      <c r="IKW32" s="672"/>
      <c r="IKX32" s="672"/>
      <c r="IKY32" s="672"/>
      <c r="IKZ32" s="672"/>
      <c r="ILA32" s="672"/>
      <c r="ILB32" s="672"/>
      <c r="ILC32" s="672"/>
      <c r="ILD32" s="672"/>
      <c r="ILE32" s="672"/>
      <c r="ILF32" s="672"/>
      <c r="ILG32" s="672"/>
      <c r="ILH32" s="672"/>
      <c r="ILI32" s="672"/>
      <c r="ILJ32" s="672"/>
      <c r="ILK32" s="672"/>
      <c r="ILL32" s="672"/>
      <c r="ILM32" s="672"/>
      <c r="ILN32" s="672"/>
      <c r="ILO32" s="672"/>
      <c r="ILP32" s="672"/>
      <c r="ILQ32" s="672"/>
      <c r="ILR32" s="672"/>
      <c r="ILS32" s="672"/>
      <c r="ILT32" s="672"/>
      <c r="ILU32" s="672"/>
      <c r="ILV32" s="672"/>
      <c r="ILW32" s="672"/>
      <c r="ILX32" s="672"/>
      <c r="ILY32" s="672"/>
      <c r="ILZ32" s="672"/>
      <c r="IMA32" s="672"/>
      <c r="IMB32" s="672"/>
      <c r="IMC32" s="672"/>
      <c r="IMD32" s="672"/>
      <c r="IME32" s="672"/>
      <c r="IMF32" s="672"/>
      <c r="IMG32" s="672"/>
      <c r="IMH32" s="672"/>
      <c r="IMI32" s="672"/>
      <c r="IMJ32" s="672"/>
      <c r="IMK32" s="672"/>
      <c r="IML32" s="672"/>
      <c r="IMM32" s="672"/>
      <c r="IMN32" s="672"/>
      <c r="IMO32" s="672"/>
      <c r="IMP32" s="672"/>
      <c r="IMQ32" s="672"/>
      <c r="IMR32" s="672"/>
      <c r="IMS32" s="672"/>
      <c r="IMT32" s="672"/>
      <c r="IMU32" s="672"/>
      <c r="IMV32" s="672"/>
      <c r="IMW32" s="672"/>
      <c r="IMX32" s="672"/>
      <c r="IMY32" s="672"/>
      <c r="IMZ32" s="672"/>
      <c r="INA32" s="672"/>
      <c r="INB32" s="672"/>
      <c r="INC32" s="672"/>
      <c r="IND32" s="672"/>
      <c r="INE32" s="672"/>
      <c r="INF32" s="672"/>
      <c r="ING32" s="672"/>
      <c r="INH32" s="672"/>
      <c r="INI32" s="672"/>
      <c r="INJ32" s="672"/>
      <c r="INK32" s="672"/>
      <c r="INL32" s="672"/>
      <c r="INM32" s="672"/>
      <c r="INN32" s="672"/>
      <c r="INO32" s="672"/>
      <c r="INP32" s="672"/>
      <c r="INQ32" s="672"/>
      <c r="INR32" s="672"/>
      <c r="INS32" s="672"/>
      <c r="INT32" s="672"/>
      <c r="INU32" s="672"/>
      <c r="INV32" s="672"/>
      <c r="INW32" s="672"/>
      <c r="INX32" s="672"/>
      <c r="INY32" s="672"/>
      <c r="INZ32" s="672"/>
      <c r="IOA32" s="672"/>
      <c r="IOB32" s="672"/>
      <c r="IOC32" s="672"/>
      <c r="IOD32" s="672"/>
      <c r="IOE32" s="672"/>
      <c r="IOF32" s="672"/>
      <c r="IOG32" s="672"/>
      <c r="IOH32" s="672"/>
      <c r="IOI32" s="672"/>
      <c r="IOJ32" s="672"/>
      <c r="IOK32" s="672"/>
      <c r="IOL32" s="672"/>
      <c r="IOM32" s="672"/>
      <c r="ION32" s="672"/>
      <c r="IOO32" s="672"/>
      <c r="IOP32" s="672"/>
      <c r="IOQ32" s="672"/>
      <c r="IOR32" s="672"/>
      <c r="IOS32" s="672"/>
      <c r="IOT32" s="672"/>
      <c r="IOU32" s="672"/>
      <c r="IOV32" s="672"/>
      <c r="IOW32" s="672"/>
      <c r="IOX32" s="672"/>
      <c r="IOY32" s="672"/>
      <c r="IOZ32" s="672"/>
      <c r="IPA32" s="672"/>
      <c r="IPB32" s="672"/>
      <c r="IPC32" s="672"/>
      <c r="IPD32" s="672"/>
      <c r="IPE32" s="672"/>
      <c r="IPF32" s="672"/>
      <c r="IPG32" s="672"/>
      <c r="IPH32" s="672"/>
      <c r="IPI32" s="672"/>
      <c r="IPJ32" s="672"/>
      <c r="IPK32" s="672"/>
      <c r="IPL32" s="672"/>
      <c r="IPM32" s="672"/>
      <c r="IPN32" s="672"/>
      <c r="IPO32" s="672"/>
      <c r="IPP32" s="672"/>
      <c r="IPQ32" s="672"/>
      <c r="IPR32" s="672"/>
      <c r="IPS32" s="672"/>
      <c r="IPT32" s="672"/>
      <c r="IPU32" s="672"/>
      <c r="IPV32" s="672"/>
      <c r="IPW32" s="672"/>
      <c r="IPX32" s="672"/>
      <c r="IPY32" s="672"/>
      <c r="IPZ32" s="672"/>
      <c r="IQA32" s="672"/>
      <c r="IQB32" s="672"/>
      <c r="IQC32" s="672"/>
      <c r="IQD32" s="672"/>
      <c r="IQE32" s="672"/>
      <c r="IQF32" s="672"/>
      <c r="IQG32" s="672"/>
      <c r="IQH32" s="672"/>
      <c r="IQI32" s="672"/>
      <c r="IQJ32" s="672"/>
      <c r="IQK32" s="672"/>
      <c r="IQL32" s="672"/>
      <c r="IQM32" s="672"/>
      <c r="IQN32" s="672"/>
      <c r="IQO32" s="672"/>
      <c r="IQP32" s="672"/>
      <c r="IQQ32" s="672"/>
      <c r="IQR32" s="672"/>
      <c r="IQS32" s="672"/>
      <c r="IQT32" s="672"/>
      <c r="IQU32" s="672"/>
      <c r="IQV32" s="672"/>
      <c r="IQW32" s="672"/>
      <c r="IQX32" s="672"/>
      <c r="IQY32" s="672"/>
      <c r="IQZ32" s="672"/>
      <c r="IRA32" s="672"/>
      <c r="IRB32" s="672"/>
      <c r="IRC32" s="672"/>
      <c r="IRD32" s="672"/>
      <c r="IRE32" s="672"/>
      <c r="IRF32" s="672"/>
      <c r="IRG32" s="672"/>
      <c r="IRH32" s="672"/>
      <c r="IRI32" s="672"/>
      <c r="IRJ32" s="672"/>
      <c r="IRK32" s="672"/>
      <c r="IRL32" s="672"/>
      <c r="IRM32" s="672"/>
      <c r="IRN32" s="672"/>
      <c r="IRO32" s="672"/>
      <c r="IRP32" s="672"/>
      <c r="IRQ32" s="672"/>
      <c r="IRR32" s="672"/>
      <c r="IRS32" s="672"/>
      <c r="IRT32" s="672"/>
      <c r="IRU32" s="672"/>
      <c r="IRV32" s="672"/>
      <c r="IRW32" s="672"/>
      <c r="IRX32" s="672"/>
      <c r="IRY32" s="672"/>
      <c r="IRZ32" s="672"/>
      <c r="ISA32" s="672"/>
      <c r="ISB32" s="672"/>
      <c r="ISC32" s="672"/>
      <c r="ISD32" s="672"/>
      <c r="ISE32" s="672"/>
      <c r="ISF32" s="672"/>
      <c r="ISG32" s="672"/>
      <c r="ISH32" s="672"/>
      <c r="ISI32" s="672"/>
      <c r="ISJ32" s="672"/>
      <c r="ISK32" s="672"/>
      <c r="ISL32" s="672"/>
      <c r="ISM32" s="672"/>
      <c r="ISN32" s="672"/>
      <c r="ISO32" s="672"/>
      <c r="ISP32" s="672"/>
      <c r="ISQ32" s="672"/>
      <c r="ISR32" s="672"/>
      <c r="ISS32" s="672"/>
      <c r="IST32" s="672"/>
      <c r="ISU32" s="672"/>
      <c r="ISV32" s="672"/>
      <c r="ISW32" s="672"/>
      <c r="ISX32" s="672"/>
      <c r="ISY32" s="672"/>
      <c r="ISZ32" s="672"/>
      <c r="ITA32" s="672"/>
      <c r="ITB32" s="672"/>
      <c r="ITC32" s="672"/>
      <c r="ITD32" s="672"/>
      <c r="ITE32" s="672"/>
      <c r="ITF32" s="672"/>
      <c r="ITG32" s="672"/>
      <c r="ITH32" s="672"/>
      <c r="ITI32" s="672"/>
      <c r="ITJ32" s="672"/>
      <c r="ITK32" s="672"/>
      <c r="ITL32" s="672"/>
      <c r="ITM32" s="672"/>
      <c r="ITN32" s="672"/>
      <c r="ITO32" s="672"/>
      <c r="ITP32" s="672"/>
      <c r="ITQ32" s="672"/>
      <c r="ITR32" s="672"/>
      <c r="ITS32" s="672"/>
      <c r="ITT32" s="672"/>
      <c r="ITU32" s="672"/>
      <c r="ITV32" s="672"/>
      <c r="ITW32" s="672"/>
      <c r="ITX32" s="672"/>
      <c r="ITY32" s="672"/>
      <c r="ITZ32" s="672"/>
      <c r="IUA32" s="672"/>
      <c r="IUB32" s="672"/>
      <c r="IUC32" s="672"/>
      <c r="IUD32" s="672"/>
      <c r="IUE32" s="672"/>
      <c r="IUF32" s="672"/>
      <c r="IUG32" s="672"/>
      <c r="IUH32" s="672"/>
      <c r="IUI32" s="672"/>
      <c r="IUJ32" s="672"/>
      <c r="IUK32" s="672"/>
      <c r="IUL32" s="672"/>
      <c r="IUM32" s="672"/>
      <c r="IUN32" s="672"/>
      <c r="IUO32" s="672"/>
      <c r="IUP32" s="672"/>
      <c r="IUQ32" s="672"/>
      <c r="IUR32" s="672"/>
      <c r="IUS32" s="672"/>
      <c r="IUT32" s="672"/>
      <c r="IUU32" s="672"/>
      <c r="IUV32" s="672"/>
      <c r="IUW32" s="672"/>
      <c r="IUX32" s="672"/>
      <c r="IUY32" s="672"/>
      <c r="IUZ32" s="672"/>
      <c r="IVA32" s="672"/>
      <c r="IVB32" s="672"/>
      <c r="IVC32" s="672"/>
      <c r="IVD32" s="672"/>
      <c r="IVE32" s="672"/>
      <c r="IVF32" s="672"/>
      <c r="IVG32" s="672"/>
      <c r="IVH32" s="672"/>
      <c r="IVI32" s="672"/>
      <c r="IVJ32" s="672"/>
      <c r="IVK32" s="672"/>
      <c r="IVL32" s="672"/>
      <c r="IVM32" s="672"/>
      <c r="IVN32" s="672"/>
      <c r="IVO32" s="672"/>
      <c r="IVP32" s="672"/>
      <c r="IVQ32" s="672"/>
      <c r="IVR32" s="672"/>
      <c r="IVS32" s="672"/>
      <c r="IVT32" s="672"/>
      <c r="IVU32" s="672"/>
      <c r="IVV32" s="672"/>
      <c r="IVW32" s="672"/>
      <c r="IVX32" s="672"/>
      <c r="IVY32" s="672"/>
      <c r="IVZ32" s="672"/>
      <c r="IWA32" s="672"/>
      <c r="IWB32" s="672"/>
      <c r="IWC32" s="672"/>
      <c r="IWD32" s="672"/>
      <c r="IWE32" s="672"/>
      <c r="IWF32" s="672"/>
      <c r="IWG32" s="672"/>
      <c r="IWH32" s="672"/>
      <c r="IWI32" s="672"/>
      <c r="IWJ32" s="672"/>
      <c r="IWK32" s="672"/>
      <c r="IWL32" s="672"/>
      <c r="IWM32" s="672"/>
      <c r="IWN32" s="672"/>
      <c r="IWO32" s="672"/>
      <c r="IWP32" s="672"/>
      <c r="IWQ32" s="672"/>
      <c r="IWR32" s="672"/>
      <c r="IWS32" s="672"/>
      <c r="IWT32" s="672"/>
      <c r="IWU32" s="672"/>
      <c r="IWV32" s="672"/>
      <c r="IWW32" s="672"/>
      <c r="IWX32" s="672"/>
      <c r="IWY32" s="672"/>
      <c r="IWZ32" s="672"/>
      <c r="IXA32" s="672"/>
      <c r="IXB32" s="672"/>
      <c r="IXC32" s="672"/>
      <c r="IXD32" s="672"/>
      <c r="IXE32" s="672"/>
      <c r="IXF32" s="672"/>
      <c r="IXG32" s="672"/>
      <c r="IXH32" s="672"/>
      <c r="IXI32" s="672"/>
      <c r="IXJ32" s="672"/>
      <c r="IXK32" s="672"/>
      <c r="IXL32" s="672"/>
      <c r="IXM32" s="672"/>
      <c r="IXN32" s="672"/>
      <c r="IXO32" s="672"/>
      <c r="IXP32" s="672"/>
      <c r="IXQ32" s="672"/>
      <c r="IXR32" s="672"/>
      <c r="IXS32" s="672"/>
      <c r="IXT32" s="672"/>
      <c r="IXU32" s="672"/>
      <c r="IXV32" s="672"/>
      <c r="IXW32" s="672"/>
      <c r="IXX32" s="672"/>
      <c r="IXY32" s="672"/>
      <c r="IXZ32" s="672"/>
      <c r="IYA32" s="672"/>
      <c r="IYB32" s="672"/>
      <c r="IYC32" s="672"/>
      <c r="IYD32" s="672"/>
      <c r="IYE32" s="672"/>
      <c r="IYF32" s="672"/>
      <c r="IYG32" s="672"/>
      <c r="IYH32" s="672"/>
      <c r="IYI32" s="672"/>
      <c r="IYJ32" s="672"/>
      <c r="IYK32" s="672"/>
      <c r="IYL32" s="672"/>
      <c r="IYM32" s="672"/>
      <c r="IYN32" s="672"/>
      <c r="IYO32" s="672"/>
      <c r="IYP32" s="672"/>
      <c r="IYQ32" s="672"/>
      <c r="IYR32" s="672"/>
      <c r="IYS32" s="672"/>
      <c r="IYT32" s="672"/>
      <c r="IYU32" s="672"/>
      <c r="IYV32" s="672"/>
      <c r="IYW32" s="672"/>
      <c r="IYX32" s="672"/>
      <c r="IYY32" s="672"/>
      <c r="IYZ32" s="672"/>
      <c r="IZA32" s="672"/>
      <c r="IZB32" s="672"/>
      <c r="IZC32" s="672"/>
      <c r="IZD32" s="672"/>
      <c r="IZE32" s="672"/>
      <c r="IZF32" s="672"/>
      <c r="IZG32" s="672"/>
      <c r="IZH32" s="672"/>
      <c r="IZI32" s="672"/>
      <c r="IZJ32" s="672"/>
      <c r="IZK32" s="672"/>
      <c r="IZL32" s="672"/>
      <c r="IZM32" s="672"/>
      <c r="IZN32" s="672"/>
      <c r="IZO32" s="672"/>
      <c r="IZP32" s="672"/>
      <c r="IZQ32" s="672"/>
      <c r="IZR32" s="672"/>
      <c r="IZS32" s="672"/>
      <c r="IZT32" s="672"/>
      <c r="IZU32" s="672"/>
      <c r="IZV32" s="672"/>
      <c r="IZW32" s="672"/>
      <c r="IZX32" s="672"/>
      <c r="IZY32" s="672"/>
      <c r="IZZ32" s="672"/>
      <c r="JAA32" s="672"/>
      <c r="JAB32" s="672"/>
      <c r="JAC32" s="672"/>
      <c r="JAD32" s="672"/>
      <c r="JAE32" s="672"/>
      <c r="JAF32" s="672"/>
      <c r="JAG32" s="672"/>
      <c r="JAH32" s="672"/>
      <c r="JAI32" s="672"/>
      <c r="JAJ32" s="672"/>
      <c r="JAK32" s="672"/>
      <c r="JAL32" s="672"/>
      <c r="JAM32" s="672"/>
      <c r="JAN32" s="672"/>
      <c r="JAO32" s="672"/>
      <c r="JAP32" s="672"/>
      <c r="JAQ32" s="672"/>
      <c r="JAR32" s="672"/>
      <c r="JAS32" s="672"/>
      <c r="JAT32" s="672"/>
      <c r="JAU32" s="672"/>
      <c r="JAV32" s="672"/>
      <c r="JAW32" s="672"/>
      <c r="JAX32" s="672"/>
      <c r="JAY32" s="672"/>
      <c r="JAZ32" s="672"/>
      <c r="JBA32" s="672"/>
      <c r="JBB32" s="672"/>
      <c r="JBC32" s="672"/>
      <c r="JBD32" s="672"/>
      <c r="JBE32" s="672"/>
      <c r="JBF32" s="672"/>
      <c r="JBG32" s="672"/>
      <c r="JBH32" s="672"/>
      <c r="JBI32" s="672"/>
      <c r="JBJ32" s="672"/>
      <c r="JBK32" s="672"/>
      <c r="JBL32" s="672"/>
      <c r="JBM32" s="672"/>
      <c r="JBN32" s="672"/>
      <c r="JBO32" s="672"/>
      <c r="JBP32" s="672"/>
      <c r="JBQ32" s="672"/>
      <c r="JBR32" s="672"/>
      <c r="JBS32" s="672"/>
      <c r="JBT32" s="672"/>
      <c r="JBU32" s="672"/>
      <c r="JBV32" s="672"/>
      <c r="JBW32" s="672"/>
      <c r="JBX32" s="672"/>
      <c r="JBY32" s="672"/>
      <c r="JBZ32" s="672"/>
      <c r="JCA32" s="672"/>
      <c r="JCB32" s="672"/>
      <c r="JCC32" s="672"/>
      <c r="JCD32" s="672"/>
      <c r="JCE32" s="672"/>
      <c r="JCF32" s="672"/>
      <c r="JCG32" s="672"/>
      <c r="JCH32" s="672"/>
      <c r="JCI32" s="672"/>
      <c r="JCJ32" s="672"/>
      <c r="JCK32" s="672"/>
      <c r="JCL32" s="672"/>
      <c r="JCM32" s="672"/>
      <c r="JCN32" s="672"/>
      <c r="JCO32" s="672"/>
      <c r="JCP32" s="672"/>
      <c r="JCQ32" s="672"/>
      <c r="JCR32" s="672"/>
      <c r="JCS32" s="672"/>
      <c r="JCT32" s="672"/>
      <c r="JCU32" s="672"/>
      <c r="JCV32" s="672"/>
      <c r="JCW32" s="672"/>
      <c r="JCX32" s="672"/>
      <c r="JCY32" s="672"/>
      <c r="JCZ32" s="672"/>
      <c r="JDA32" s="672"/>
      <c r="JDB32" s="672"/>
      <c r="JDC32" s="672"/>
      <c r="JDD32" s="672"/>
      <c r="JDE32" s="672"/>
      <c r="JDF32" s="672"/>
      <c r="JDG32" s="672"/>
      <c r="JDH32" s="672"/>
      <c r="JDI32" s="672"/>
      <c r="JDJ32" s="672"/>
      <c r="JDK32" s="672"/>
      <c r="JDL32" s="672"/>
      <c r="JDM32" s="672"/>
      <c r="JDN32" s="672"/>
      <c r="JDO32" s="672"/>
      <c r="JDP32" s="672"/>
      <c r="JDQ32" s="672"/>
      <c r="JDR32" s="672"/>
      <c r="JDS32" s="672"/>
      <c r="JDT32" s="672"/>
      <c r="JDU32" s="672"/>
      <c r="JDV32" s="672"/>
      <c r="JDW32" s="672"/>
      <c r="JDX32" s="672"/>
      <c r="JDY32" s="672"/>
      <c r="JDZ32" s="672"/>
      <c r="JEA32" s="672"/>
      <c r="JEB32" s="672"/>
      <c r="JEC32" s="672"/>
      <c r="JED32" s="672"/>
      <c r="JEE32" s="672"/>
      <c r="JEF32" s="672"/>
      <c r="JEG32" s="672"/>
      <c r="JEH32" s="672"/>
      <c r="JEI32" s="672"/>
      <c r="JEJ32" s="672"/>
      <c r="JEK32" s="672"/>
      <c r="JEL32" s="672"/>
      <c r="JEM32" s="672"/>
      <c r="JEN32" s="672"/>
      <c r="JEO32" s="672"/>
      <c r="JEP32" s="672"/>
      <c r="JEQ32" s="672"/>
      <c r="JER32" s="672"/>
      <c r="JES32" s="672"/>
      <c r="JET32" s="672"/>
      <c r="JEU32" s="672"/>
      <c r="JEV32" s="672"/>
      <c r="JEW32" s="672"/>
      <c r="JEX32" s="672"/>
      <c r="JEY32" s="672"/>
      <c r="JEZ32" s="672"/>
      <c r="JFA32" s="672"/>
      <c r="JFB32" s="672"/>
      <c r="JFC32" s="672"/>
      <c r="JFD32" s="672"/>
      <c r="JFE32" s="672"/>
      <c r="JFF32" s="672"/>
      <c r="JFG32" s="672"/>
      <c r="JFH32" s="672"/>
      <c r="JFI32" s="672"/>
      <c r="JFJ32" s="672"/>
      <c r="JFK32" s="672"/>
      <c r="JFL32" s="672"/>
      <c r="JFM32" s="672"/>
      <c r="JFN32" s="672"/>
      <c r="JFO32" s="672"/>
      <c r="JFP32" s="672"/>
      <c r="JFQ32" s="672"/>
      <c r="JFR32" s="672"/>
      <c r="JFS32" s="672"/>
      <c r="JFT32" s="672"/>
      <c r="JFU32" s="672"/>
      <c r="JFV32" s="672"/>
      <c r="JFW32" s="672"/>
      <c r="JFX32" s="672"/>
      <c r="JFY32" s="672"/>
      <c r="JFZ32" s="672"/>
      <c r="JGA32" s="672"/>
      <c r="JGB32" s="672"/>
      <c r="JGC32" s="672"/>
      <c r="JGD32" s="672"/>
      <c r="JGE32" s="672"/>
      <c r="JGF32" s="672"/>
      <c r="JGG32" s="672"/>
      <c r="JGH32" s="672"/>
      <c r="JGI32" s="672"/>
      <c r="JGJ32" s="672"/>
      <c r="JGK32" s="672"/>
      <c r="JGL32" s="672"/>
      <c r="JGM32" s="672"/>
      <c r="JGN32" s="672"/>
      <c r="JGO32" s="672"/>
      <c r="JGP32" s="672"/>
      <c r="JGQ32" s="672"/>
      <c r="JGR32" s="672"/>
      <c r="JGS32" s="672"/>
      <c r="JGT32" s="672"/>
      <c r="JGU32" s="672"/>
      <c r="JGV32" s="672"/>
      <c r="JGW32" s="672"/>
      <c r="JGX32" s="672"/>
      <c r="JGY32" s="672"/>
      <c r="JGZ32" s="672"/>
      <c r="JHA32" s="672"/>
      <c r="JHB32" s="672"/>
      <c r="JHC32" s="672"/>
      <c r="JHD32" s="672"/>
      <c r="JHE32" s="672"/>
      <c r="JHF32" s="672"/>
      <c r="JHG32" s="672"/>
      <c r="JHH32" s="672"/>
      <c r="JHI32" s="672"/>
      <c r="JHJ32" s="672"/>
      <c r="JHK32" s="672"/>
      <c r="JHL32" s="672"/>
      <c r="JHM32" s="672"/>
      <c r="JHN32" s="672"/>
      <c r="JHO32" s="672"/>
      <c r="JHP32" s="672"/>
      <c r="JHQ32" s="672"/>
      <c r="JHR32" s="672"/>
      <c r="JHS32" s="672"/>
      <c r="JHT32" s="672"/>
      <c r="JHU32" s="672"/>
      <c r="JHV32" s="672"/>
      <c r="JHW32" s="672"/>
      <c r="JHX32" s="672"/>
      <c r="JHY32" s="672"/>
      <c r="JHZ32" s="672"/>
      <c r="JIA32" s="672"/>
      <c r="JIB32" s="672"/>
      <c r="JIC32" s="672"/>
      <c r="JID32" s="672"/>
      <c r="JIE32" s="672"/>
      <c r="JIF32" s="672"/>
      <c r="JIG32" s="672"/>
      <c r="JIH32" s="672"/>
      <c r="JII32" s="672"/>
      <c r="JIJ32" s="672"/>
      <c r="JIK32" s="672"/>
      <c r="JIL32" s="672"/>
      <c r="JIM32" s="672"/>
      <c r="JIN32" s="672"/>
      <c r="JIO32" s="672"/>
      <c r="JIP32" s="672"/>
      <c r="JIQ32" s="672"/>
      <c r="JIR32" s="672"/>
      <c r="JIS32" s="672"/>
      <c r="JIT32" s="672"/>
      <c r="JIU32" s="672"/>
      <c r="JIV32" s="672"/>
      <c r="JIW32" s="672"/>
      <c r="JIX32" s="672"/>
      <c r="JIY32" s="672"/>
      <c r="JIZ32" s="672"/>
      <c r="JJA32" s="672"/>
      <c r="JJB32" s="672"/>
      <c r="JJC32" s="672"/>
      <c r="JJD32" s="672"/>
      <c r="JJE32" s="672"/>
      <c r="JJF32" s="672"/>
      <c r="JJG32" s="672"/>
      <c r="JJH32" s="672"/>
      <c r="JJI32" s="672"/>
      <c r="JJJ32" s="672"/>
      <c r="JJK32" s="672"/>
      <c r="JJL32" s="672"/>
      <c r="JJM32" s="672"/>
      <c r="JJN32" s="672"/>
      <c r="JJO32" s="672"/>
      <c r="JJP32" s="672"/>
      <c r="JJQ32" s="672"/>
      <c r="JJR32" s="672"/>
      <c r="JJS32" s="672"/>
      <c r="JJT32" s="672"/>
      <c r="JJU32" s="672"/>
      <c r="JJV32" s="672"/>
      <c r="JJW32" s="672"/>
      <c r="JJX32" s="672"/>
      <c r="JJY32" s="672"/>
      <c r="JJZ32" s="672"/>
      <c r="JKA32" s="672"/>
      <c r="JKB32" s="672"/>
      <c r="JKC32" s="672"/>
      <c r="JKD32" s="672"/>
      <c r="JKE32" s="672"/>
      <c r="JKF32" s="672"/>
      <c r="JKG32" s="672"/>
      <c r="JKH32" s="672"/>
      <c r="JKI32" s="672"/>
      <c r="JKJ32" s="672"/>
      <c r="JKK32" s="672"/>
      <c r="JKL32" s="672"/>
      <c r="JKM32" s="672"/>
      <c r="JKN32" s="672"/>
      <c r="JKO32" s="672"/>
      <c r="JKP32" s="672"/>
      <c r="JKQ32" s="672"/>
      <c r="JKR32" s="672"/>
      <c r="JKS32" s="672"/>
      <c r="JKT32" s="672"/>
      <c r="JKU32" s="672"/>
      <c r="JKV32" s="672"/>
      <c r="JKW32" s="672"/>
      <c r="JKX32" s="672"/>
      <c r="JKY32" s="672"/>
      <c r="JKZ32" s="672"/>
      <c r="JLA32" s="672"/>
      <c r="JLB32" s="672"/>
      <c r="JLC32" s="672"/>
      <c r="JLD32" s="672"/>
      <c r="JLE32" s="672"/>
      <c r="JLF32" s="672"/>
      <c r="JLG32" s="672"/>
      <c r="JLH32" s="672"/>
      <c r="JLI32" s="672"/>
      <c r="JLJ32" s="672"/>
      <c r="JLK32" s="672"/>
      <c r="JLL32" s="672"/>
      <c r="JLM32" s="672"/>
      <c r="JLN32" s="672"/>
      <c r="JLO32" s="672"/>
      <c r="JLP32" s="672"/>
      <c r="JLQ32" s="672"/>
      <c r="JLR32" s="672"/>
      <c r="JLS32" s="672"/>
      <c r="JLT32" s="672"/>
      <c r="JLU32" s="672"/>
      <c r="JLV32" s="672"/>
      <c r="JLW32" s="672"/>
      <c r="JLX32" s="672"/>
      <c r="JLY32" s="672"/>
      <c r="JLZ32" s="672"/>
      <c r="JMA32" s="672"/>
      <c r="JMB32" s="672"/>
      <c r="JMC32" s="672"/>
      <c r="JMD32" s="672"/>
      <c r="JME32" s="672"/>
      <c r="JMF32" s="672"/>
      <c r="JMG32" s="672"/>
      <c r="JMH32" s="672"/>
      <c r="JMI32" s="672"/>
      <c r="JMJ32" s="672"/>
      <c r="JMK32" s="672"/>
      <c r="JML32" s="672"/>
      <c r="JMM32" s="672"/>
      <c r="JMN32" s="672"/>
      <c r="JMO32" s="672"/>
      <c r="JMP32" s="672"/>
      <c r="JMQ32" s="672"/>
      <c r="JMR32" s="672"/>
      <c r="JMS32" s="672"/>
      <c r="JMT32" s="672"/>
      <c r="JMU32" s="672"/>
      <c r="JMV32" s="672"/>
      <c r="JMW32" s="672"/>
      <c r="JMX32" s="672"/>
      <c r="JMY32" s="672"/>
      <c r="JMZ32" s="672"/>
      <c r="JNA32" s="672"/>
      <c r="JNB32" s="672"/>
      <c r="JNC32" s="672"/>
      <c r="JND32" s="672"/>
      <c r="JNE32" s="672"/>
      <c r="JNF32" s="672"/>
      <c r="JNG32" s="672"/>
      <c r="JNH32" s="672"/>
      <c r="JNI32" s="672"/>
      <c r="JNJ32" s="672"/>
      <c r="JNK32" s="672"/>
      <c r="JNL32" s="672"/>
      <c r="JNM32" s="672"/>
      <c r="JNN32" s="672"/>
      <c r="JNO32" s="672"/>
      <c r="JNP32" s="672"/>
      <c r="JNQ32" s="672"/>
      <c r="JNR32" s="672"/>
      <c r="JNS32" s="672"/>
      <c r="JNT32" s="672"/>
      <c r="JNU32" s="672"/>
      <c r="JNV32" s="672"/>
      <c r="JNW32" s="672"/>
      <c r="JNX32" s="672"/>
      <c r="JNY32" s="672"/>
      <c r="JNZ32" s="672"/>
      <c r="JOA32" s="672"/>
      <c r="JOB32" s="672"/>
      <c r="JOC32" s="672"/>
      <c r="JOD32" s="672"/>
      <c r="JOE32" s="672"/>
      <c r="JOF32" s="672"/>
      <c r="JOG32" s="672"/>
      <c r="JOH32" s="672"/>
      <c r="JOI32" s="672"/>
      <c r="JOJ32" s="672"/>
      <c r="JOK32" s="672"/>
      <c r="JOL32" s="672"/>
      <c r="JOM32" s="672"/>
      <c r="JON32" s="672"/>
      <c r="JOO32" s="672"/>
      <c r="JOP32" s="672"/>
      <c r="JOQ32" s="672"/>
      <c r="JOR32" s="672"/>
      <c r="JOS32" s="672"/>
      <c r="JOT32" s="672"/>
      <c r="JOU32" s="672"/>
      <c r="JOV32" s="672"/>
      <c r="JOW32" s="672"/>
      <c r="JOX32" s="672"/>
      <c r="JOY32" s="672"/>
      <c r="JOZ32" s="672"/>
      <c r="JPA32" s="672"/>
      <c r="JPB32" s="672"/>
      <c r="JPC32" s="672"/>
      <c r="JPD32" s="672"/>
      <c r="JPE32" s="672"/>
      <c r="JPF32" s="672"/>
      <c r="JPG32" s="672"/>
      <c r="JPH32" s="672"/>
      <c r="JPI32" s="672"/>
      <c r="JPJ32" s="672"/>
      <c r="JPK32" s="672"/>
      <c r="JPL32" s="672"/>
      <c r="JPM32" s="672"/>
      <c r="JPN32" s="672"/>
      <c r="JPO32" s="672"/>
      <c r="JPP32" s="672"/>
      <c r="JPQ32" s="672"/>
      <c r="JPR32" s="672"/>
      <c r="JPS32" s="672"/>
      <c r="JPT32" s="672"/>
      <c r="JPU32" s="672"/>
      <c r="JPV32" s="672"/>
      <c r="JPW32" s="672"/>
      <c r="JPX32" s="672"/>
      <c r="JPY32" s="672"/>
      <c r="JPZ32" s="672"/>
      <c r="JQA32" s="672"/>
      <c r="JQB32" s="672"/>
      <c r="JQC32" s="672"/>
      <c r="JQD32" s="672"/>
      <c r="JQE32" s="672"/>
      <c r="JQF32" s="672"/>
      <c r="JQG32" s="672"/>
      <c r="JQH32" s="672"/>
      <c r="JQI32" s="672"/>
      <c r="JQJ32" s="672"/>
      <c r="JQK32" s="672"/>
      <c r="JQL32" s="672"/>
      <c r="JQM32" s="672"/>
      <c r="JQN32" s="672"/>
      <c r="JQO32" s="672"/>
      <c r="JQP32" s="672"/>
      <c r="JQQ32" s="672"/>
      <c r="JQR32" s="672"/>
      <c r="JQS32" s="672"/>
      <c r="JQT32" s="672"/>
      <c r="JQU32" s="672"/>
      <c r="JQV32" s="672"/>
      <c r="JQW32" s="672"/>
      <c r="JQX32" s="672"/>
      <c r="JQY32" s="672"/>
      <c r="JQZ32" s="672"/>
      <c r="JRA32" s="672"/>
      <c r="JRB32" s="672"/>
      <c r="JRC32" s="672"/>
      <c r="JRD32" s="672"/>
      <c r="JRE32" s="672"/>
      <c r="JRF32" s="672"/>
      <c r="JRG32" s="672"/>
      <c r="JRH32" s="672"/>
      <c r="JRI32" s="672"/>
      <c r="JRJ32" s="672"/>
      <c r="JRK32" s="672"/>
      <c r="JRL32" s="672"/>
      <c r="JRM32" s="672"/>
      <c r="JRN32" s="672"/>
      <c r="JRO32" s="672"/>
      <c r="JRP32" s="672"/>
      <c r="JRQ32" s="672"/>
      <c r="JRR32" s="672"/>
      <c r="JRS32" s="672"/>
      <c r="JRT32" s="672"/>
      <c r="JRU32" s="672"/>
      <c r="JRV32" s="672"/>
      <c r="JRW32" s="672"/>
      <c r="JRX32" s="672"/>
      <c r="JRY32" s="672"/>
      <c r="JRZ32" s="672"/>
      <c r="JSA32" s="672"/>
      <c r="JSB32" s="672"/>
      <c r="JSC32" s="672"/>
      <c r="JSD32" s="672"/>
      <c r="JSE32" s="672"/>
      <c r="JSF32" s="672"/>
      <c r="JSG32" s="672"/>
      <c r="JSH32" s="672"/>
      <c r="JSI32" s="672"/>
      <c r="JSJ32" s="672"/>
      <c r="JSK32" s="672"/>
      <c r="JSL32" s="672"/>
      <c r="JSM32" s="672"/>
      <c r="JSN32" s="672"/>
      <c r="JSO32" s="672"/>
      <c r="JSP32" s="672"/>
      <c r="JSQ32" s="672"/>
      <c r="JSR32" s="672"/>
      <c r="JSS32" s="672"/>
      <c r="JST32" s="672"/>
      <c r="JSU32" s="672"/>
      <c r="JSV32" s="672"/>
      <c r="JSW32" s="672"/>
      <c r="JSX32" s="672"/>
      <c r="JSY32" s="672"/>
      <c r="JSZ32" s="672"/>
      <c r="JTA32" s="672"/>
      <c r="JTB32" s="672"/>
      <c r="JTC32" s="672"/>
      <c r="JTD32" s="672"/>
      <c r="JTE32" s="672"/>
      <c r="JTF32" s="672"/>
      <c r="JTG32" s="672"/>
      <c r="JTH32" s="672"/>
      <c r="JTI32" s="672"/>
      <c r="JTJ32" s="672"/>
      <c r="JTK32" s="672"/>
      <c r="JTL32" s="672"/>
      <c r="JTM32" s="672"/>
      <c r="JTN32" s="672"/>
      <c r="JTO32" s="672"/>
      <c r="JTP32" s="672"/>
      <c r="JTQ32" s="672"/>
      <c r="JTR32" s="672"/>
      <c r="JTS32" s="672"/>
      <c r="JTT32" s="672"/>
      <c r="JTU32" s="672"/>
      <c r="JTV32" s="672"/>
      <c r="JTW32" s="672"/>
      <c r="JTX32" s="672"/>
      <c r="JTY32" s="672"/>
      <c r="JTZ32" s="672"/>
      <c r="JUA32" s="672"/>
      <c r="JUB32" s="672"/>
      <c r="JUC32" s="672"/>
      <c r="JUD32" s="672"/>
      <c r="JUE32" s="672"/>
      <c r="JUF32" s="672"/>
      <c r="JUG32" s="672"/>
      <c r="JUH32" s="672"/>
      <c r="JUI32" s="672"/>
      <c r="JUJ32" s="672"/>
      <c r="JUK32" s="672"/>
      <c r="JUL32" s="672"/>
      <c r="JUM32" s="672"/>
      <c r="JUN32" s="672"/>
      <c r="JUO32" s="672"/>
      <c r="JUP32" s="672"/>
      <c r="JUQ32" s="672"/>
      <c r="JUR32" s="672"/>
      <c r="JUS32" s="672"/>
      <c r="JUT32" s="672"/>
      <c r="JUU32" s="672"/>
      <c r="JUV32" s="672"/>
      <c r="JUW32" s="672"/>
      <c r="JUX32" s="672"/>
      <c r="JUY32" s="672"/>
      <c r="JUZ32" s="672"/>
      <c r="JVA32" s="672"/>
      <c r="JVB32" s="672"/>
      <c r="JVC32" s="672"/>
      <c r="JVD32" s="672"/>
      <c r="JVE32" s="672"/>
      <c r="JVF32" s="672"/>
      <c r="JVG32" s="672"/>
      <c r="JVH32" s="672"/>
      <c r="JVI32" s="672"/>
      <c r="JVJ32" s="672"/>
      <c r="JVK32" s="672"/>
      <c r="JVL32" s="672"/>
      <c r="JVM32" s="672"/>
      <c r="JVN32" s="672"/>
      <c r="JVO32" s="672"/>
      <c r="JVP32" s="672"/>
      <c r="JVQ32" s="672"/>
      <c r="JVR32" s="672"/>
      <c r="JVS32" s="672"/>
      <c r="JVT32" s="672"/>
      <c r="JVU32" s="672"/>
      <c r="JVV32" s="672"/>
      <c r="JVW32" s="672"/>
      <c r="JVX32" s="672"/>
      <c r="JVY32" s="672"/>
      <c r="JVZ32" s="672"/>
      <c r="JWA32" s="672"/>
      <c r="JWB32" s="672"/>
      <c r="JWC32" s="672"/>
      <c r="JWD32" s="672"/>
      <c r="JWE32" s="672"/>
      <c r="JWF32" s="672"/>
      <c r="JWG32" s="672"/>
      <c r="JWH32" s="672"/>
      <c r="JWI32" s="672"/>
      <c r="JWJ32" s="672"/>
      <c r="JWK32" s="672"/>
      <c r="JWL32" s="672"/>
      <c r="JWM32" s="672"/>
      <c r="JWN32" s="672"/>
      <c r="JWO32" s="672"/>
      <c r="JWP32" s="672"/>
      <c r="JWQ32" s="672"/>
      <c r="JWR32" s="672"/>
      <c r="JWS32" s="672"/>
      <c r="JWT32" s="672"/>
      <c r="JWU32" s="672"/>
      <c r="JWV32" s="672"/>
      <c r="JWW32" s="672"/>
      <c r="JWX32" s="672"/>
      <c r="JWY32" s="672"/>
      <c r="JWZ32" s="672"/>
      <c r="JXA32" s="672"/>
      <c r="JXB32" s="672"/>
      <c r="JXC32" s="672"/>
      <c r="JXD32" s="672"/>
      <c r="JXE32" s="672"/>
      <c r="JXF32" s="672"/>
      <c r="JXG32" s="672"/>
      <c r="JXH32" s="672"/>
      <c r="JXI32" s="672"/>
      <c r="JXJ32" s="672"/>
      <c r="JXK32" s="672"/>
      <c r="JXL32" s="672"/>
      <c r="JXM32" s="672"/>
      <c r="JXN32" s="672"/>
      <c r="JXO32" s="672"/>
      <c r="JXP32" s="672"/>
      <c r="JXQ32" s="672"/>
      <c r="JXR32" s="672"/>
      <c r="JXS32" s="672"/>
      <c r="JXT32" s="672"/>
      <c r="JXU32" s="672"/>
      <c r="JXV32" s="672"/>
      <c r="JXW32" s="672"/>
      <c r="JXX32" s="672"/>
      <c r="JXY32" s="672"/>
      <c r="JXZ32" s="672"/>
      <c r="JYA32" s="672"/>
      <c r="JYB32" s="672"/>
      <c r="JYC32" s="672"/>
      <c r="JYD32" s="672"/>
      <c r="JYE32" s="672"/>
      <c r="JYF32" s="672"/>
      <c r="JYG32" s="672"/>
      <c r="JYH32" s="672"/>
      <c r="JYI32" s="672"/>
      <c r="JYJ32" s="672"/>
      <c r="JYK32" s="672"/>
      <c r="JYL32" s="672"/>
      <c r="JYM32" s="672"/>
      <c r="JYN32" s="672"/>
      <c r="JYO32" s="672"/>
      <c r="JYP32" s="672"/>
      <c r="JYQ32" s="672"/>
      <c r="JYR32" s="672"/>
      <c r="JYS32" s="672"/>
      <c r="JYT32" s="672"/>
      <c r="JYU32" s="672"/>
      <c r="JYV32" s="672"/>
      <c r="JYW32" s="672"/>
      <c r="JYX32" s="672"/>
      <c r="JYY32" s="672"/>
      <c r="JYZ32" s="672"/>
      <c r="JZA32" s="672"/>
      <c r="JZB32" s="672"/>
      <c r="JZC32" s="672"/>
      <c r="JZD32" s="672"/>
      <c r="JZE32" s="672"/>
      <c r="JZF32" s="672"/>
      <c r="JZG32" s="672"/>
      <c r="JZH32" s="672"/>
      <c r="JZI32" s="672"/>
      <c r="JZJ32" s="672"/>
      <c r="JZK32" s="672"/>
      <c r="JZL32" s="672"/>
      <c r="JZM32" s="672"/>
      <c r="JZN32" s="672"/>
      <c r="JZO32" s="672"/>
      <c r="JZP32" s="672"/>
      <c r="JZQ32" s="672"/>
      <c r="JZR32" s="672"/>
      <c r="JZS32" s="672"/>
      <c r="JZT32" s="672"/>
      <c r="JZU32" s="672"/>
      <c r="JZV32" s="672"/>
      <c r="JZW32" s="672"/>
      <c r="JZX32" s="672"/>
      <c r="JZY32" s="672"/>
      <c r="JZZ32" s="672"/>
      <c r="KAA32" s="672"/>
      <c r="KAB32" s="672"/>
      <c r="KAC32" s="672"/>
      <c r="KAD32" s="672"/>
      <c r="KAE32" s="672"/>
      <c r="KAF32" s="672"/>
      <c r="KAG32" s="672"/>
      <c r="KAH32" s="672"/>
      <c r="KAI32" s="672"/>
      <c r="KAJ32" s="672"/>
      <c r="KAK32" s="672"/>
      <c r="KAL32" s="672"/>
      <c r="KAM32" s="672"/>
      <c r="KAN32" s="672"/>
      <c r="KAO32" s="672"/>
      <c r="KAP32" s="672"/>
      <c r="KAQ32" s="672"/>
      <c r="KAR32" s="672"/>
      <c r="KAS32" s="672"/>
      <c r="KAT32" s="672"/>
      <c r="KAU32" s="672"/>
      <c r="KAV32" s="672"/>
      <c r="KAW32" s="672"/>
      <c r="KAX32" s="672"/>
      <c r="KAY32" s="672"/>
      <c r="KAZ32" s="672"/>
      <c r="KBA32" s="672"/>
      <c r="KBB32" s="672"/>
      <c r="KBC32" s="672"/>
      <c r="KBD32" s="672"/>
      <c r="KBE32" s="672"/>
      <c r="KBF32" s="672"/>
      <c r="KBG32" s="672"/>
      <c r="KBH32" s="672"/>
      <c r="KBI32" s="672"/>
      <c r="KBJ32" s="672"/>
      <c r="KBK32" s="672"/>
      <c r="KBL32" s="672"/>
      <c r="KBM32" s="672"/>
      <c r="KBN32" s="672"/>
      <c r="KBO32" s="672"/>
      <c r="KBP32" s="672"/>
      <c r="KBQ32" s="672"/>
      <c r="KBR32" s="672"/>
      <c r="KBS32" s="672"/>
      <c r="KBT32" s="672"/>
      <c r="KBU32" s="672"/>
      <c r="KBV32" s="672"/>
      <c r="KBW32" s="672"/>
      <c r="KBX32" s="672"/>
      <c r="KBY32" s="672"/>
      <c r="KBZ32" s="672"/>
      <c r="KCA32" s="672"/>
      <c r="KCB32" s="672"/>
      <c r="KCC32" s="672"/>
      <c r="KCD32" s="672"/>
      <c r="KCE32" s="672"/>
      <c r="KCF32" s="672"/>
      <c r="KCG32" s="672"/>
      <c r="KCH32" s="672"/>
      <c r="KCI32" s="672"/>
      <c r="KCJ32" s="672"/>
      <c r="KCK32" s="672"/>
      <c r="KCL32" s="672"/>
      <c r="KCM32" s="672"/>
      <c r="KCN32" s="672"/>
      <c r="KCO32" s="672"/>
      <c r="KCP32" s="672"/>
      <c r="KCQ32" s="672"/>
      <c r="KCR32" s="672"/>
      <c r="KCS32" s="672"/>
      <c r="KCT32" s="672"/>
      <c r="KCU32" s="672"/>
      <c r="KCV32" s="672"/>
      <c r="KCW32" s="672"/>
      <c r="KCX32" s="672"/>
      <c r="KCY32" s="672"/>
      <c r="KCZ32" s="672"/>
      <c r="KDA32" s="672"/>
      <c r="KDB32" s="672"/>
      <c r="KDC32" s="672"/>
      <c r="KDD32" s="672"/>
      <c r="KDE32" s="672"/>
      <c r="KDF32" s="672"/>
      <c r="KDG32" s="672"/>
      <c r="KDH32" s="672"/>
      <c r="KDI32" s="672"/>
      <c r="KDJ32" s="672"/>
      <c r="KDK32" s="672"/>
      <c r="KDL32" s="672"/>
      <c r="KDM32" s="672"/>
      <c r="KDN32" s="672"/>
      <c r="KDO32" s="672"/>
      <c r="KDP32" s="672"/>
      <c r="KDQ32" s="672"/>
      <c r="KDR32" s="672"/>
      <c r="KDS32" s="672"/>
      <c r="KDT32" s="672"/>
      <c r="KDU32" s="672"/>
      <c r="KDV32" s="672"/>
      <c r="KDW32" s="672"/>
      <c r="KDX32" s="672"/>
      <c r="KDY32" s="672"/>
      <c r="KDZ32" s="672"/>
      <c r="KEA32" s="672"/>
      <c r="KEB32" s="672"/>
      <c r="KEC32" s="672"/>
      <c r="KED32" s="672"/>
      <c r="KEE32" s="672"/>
      <c r="KEF32" s="672"/>
      <c r="KEG32" s="672"/>
      <c r="KEH32" s="672"/>
      <c r="KEI32" s="672"/>
      <c r="KEJ32" s="672"/>
      <c r="KEK32" s="672"/>
      <c r="KEL32" s="672"/>
      <c r="KEM32" s="672"/>
      <c r="KEN32" s="672"/>
      <c r="KEO32" s="672"/>
      <c r="KEP32" s="672"/>
      <c r="KEQ32" s="672"/>
      <c r="KER32" s="672"/>
      <c r="KES32" s="672"/>
      <c r="KET32" s="672"/>
      <c r="KEU32" s="672"/>
      <c r="KEV32" s="672"/>
      <c r="KEW32" s="672"/>
      <c r="KEX32" s="672"/>
      <c r="KEY32" s="672"/>
      <c r="KEZ32" s="672"/>
      <c r="KFA32" s="672"/>
      <c r="KFB32" s="672"/>
      <c r="KFC32" s="672"/>
      <c r="KFD32" s="672"/>
      <c r="KFE32" s="672"/>
      <c r="KFF32" s="672"/>
      <c r="KFG32" s="672"/>
      <c r="KFH32" s="672"/>
      <c r="KFI32" s="672"/>
      <c r="KFJ32" s="672"/>
      <c r="KFK32" s="672"/>
      <c r="KFL32" s="672"/>
      <c r="KFM32" s="672"/>
      <c r="KFN32" s="672"/>
      <c r="KFO32" s="672"/>
      <c r="KFP32" s="672"/>
      <c r="KFQ32" s="672"/>
      <c r="KFR32" s="672"/>
      <c r="KFS32" s="672"/>
      <c r="KFT32" s="672"/>
      <c r="KFU32" s="672"/>
      <c r="KFV32" s="672"/>
      <c r="KFW32" s="672"/>
      <c r="KFX32" s="672"/>
      <c r="KFY32" s="672"/>
      <c r="KFZ32" s="672"/>
      <c r="KGA32" s="672"/>
      <c r="KGB32" s="672"/>
      <c r="KGC32" s="672"/>
      <c r="KGD32" s="672"/>
      <c r="KGE32" s="672"/>
      <c r="KGF32" s="672"/>
      <c r="KGG32" s="672"/>
      <c r="KGH32" s="672"/>
      <c r="KGI32" s="672"/>
      <c r="KGJ32" s="672"/>
      <c r="KGK32" s="672"/>
      <c r="KGL32" s="672"/>
      <c r="KGM32" s="672"/>
      <c r="KGN32" s="672"/>
      <c r="KGO32" s="672"/>
      <c r="KGP32" s="672"/>
      <c r="KGQ32" s="672"/>
      <c r="KGR32" s="672"/>
      <c r="KGS32" s="672"/>
      <c r="KGT32" s="672"/>
      <c r="KGU32" s="672"/>
      <c r="KGV32" s="672"/>
      <c r="KGW32" s="672"/>
      <c r="KGX32" s="672"/>
      <c r="KGY32" s="672"/>
      <c r="KGZ32" s="672"/>
      <c r="KHA32" s="672"/>
      <c r="KHB32" s="672"/>
      <c r="KHC32" s="672"/>
      <c r="KHD32" s="672"/>
      <c r="KHE32" s="672"/>
      <c r="KHF32" s="672"/>
      <c r="KHG32" s="672"/>
      <c r="KHH32" s="672"/>
      <c r="KHI32" s="672"/>
      <c r="KHJ32" s="672"/>
      <c r="KHK32" s="672"/>
      <c r="KHL32" s="672"/>
      <c r="KHM32" s="672"/>
      <c r="KHN32" s="672"/>
      <c r="KHO32" s="672"/>
      <c r="KHP32" s="672"/>
      <c r="KHQ32" s="672"/>
      <c r="KHR32" s="672"/>
      <c r="KHS32" s="672"/>
      <c r="KHT32" s="672"/>
      <c r="KHU32" s="672"/>
      <c r="KHV32" s="672"/>
      <c r="KHW32" s="672"/>
      <c r="KHX32" s="672"/>
      <c r="KHY32" s="672"/>
      <c r="KHZ32" s="672"/>
      <c r="KIA32" s="672"/>
      <c r="KIB32" s="672"/>
      <c r="KIC32" s="672"/>
      <c r="KID32" s="672"/>
      <c r="KIE32" s="672"/>
      <c r="KIF32" s="672"/>
      <c r="KIG32" s="672"/>
      <c r="KIH32" s="672"/>
      <c r="KII32" s="672"/>
      <c r="KIJ32" s="672"/>
      <c r="KIK32" s="672"/>
      <c r="KIL32" s="672"/>
      <c r="KIM32" s="672"/>
      <c r="KIN32" s="672"/>
      <c r="KIO32" s="672"/>
      <c r="KIP32" s="672"/>
      <c r="KIQ32" s="672"/>
      <c r="KIR32" s="672"/>
      <c r="KIS32" s="672"/>
      <c r="KIT32" s="672"/>
      <c r="KIU32" s="672"/>
      <c r="KIV32" s="672"/>
      <c r="KIW32" s="672"/>
      <c r="KIX32" s="672"/>
      <c r="KIY32" s="672"/>
      <c r="KIZ32" s="672"/>
      <c r="KJA32" s="672"/>
      <c r="KJB32" s="672"/>
      <c r="KJC32" s="672"/>
      <c r="KJD32" s="672"/>
      <c r="KJE32" s="672"/>
      <c r="KJF32" s="672"/>
      <c r="KJG32" s="672"/>
      <c r="KJH32" s="672"/>
      <c r="KJI32" s="672"/>
      <c r="KJJ32" s="672"/>
      <c r="KJK32" s="672"/>
      <c r="KJL32" s="672"/>
      <c r="KJM32" s="672"/>
      <c r="KJN32" s="672"/>
      <c r="KJO32" s="672"/>
      <c r="KJP32" s="672"/>
      <c r="KJQ32" s="672"/>
      <c r="KJR32" s="672"/>
      <c r="KJS32" s="672"/>
      <c r="KJT32" s="672"/>
      <c r="KJU32" s="672"/>
      <c r="KJV32" s="672"/>
      <c r="KJW32" s="672"/>
      <c r="KJX32" s="672"/>
      <c r="KJY32" s="672"/>
      <c r="KJZ32" s="672"/>
      <c r="KKA32" s="672"/>
      <c r="KKB32" s="672"/>
      <c r="KKC32" s="672"/>
      <c r="KKD32" s="672"/>
      <c r="KKE32" s="672"/>
      <c r="KKF32" s="672"/>
      <c r="KKG32" s="672"/>
      <c r="KKH32" s="672"/>
      <c r="KKI32" s="672"/>
      <c r="KKJ32" s="672"/>
      <c r="KKK32" s="672"/>
      <c r="KKL32" s="672"/>
      <c r="KKM32" s="672"/>
      <c r="KKN32" s="672"/>
      <c r="KKO32" s="672"/>
      <c r="KKP32" s="672"/>
      <c r="KKQ32" s="672"/>
      <c r="KKR32" s="672"/>
      <c r="KKS32" s="672"/>
      <c r="KKT32" s="672"/>
      <c r="KKU32" s="672"/>
      <c r="KKV32" s="672"/>
      <c r="KKW32" s="672"/>
      <c r="KKX32" s="672"/>
      <c r="KKY32" s="672"/>
      <c r="KKZ32" s="672"/>
      <c r="KLA32" s="672"/>
      <c r="KLB32" s="672"/>
      <c r="KLC32" s="672"/>
      <c r="KLD32" s="672"/>
      <c r="KLE32" s="672"/>
      <c r="KLF32" s="672"/>
      <c r="KLG32" s="672"/>
      <c r="KLH32" s="672"/>
      <c r="KLI32" s="672"/>
      <c r="KLJ32" s="672"/>
      <c r="KLK32" s="672"/>
      <c r="KLL32" s="672"/>
      <c r="KLM32" s="672"/>
      <c r="KLN32" s="672"/>
      <c r="KLO32" s="672"/>
      <c r="KLP32" s="672"/>
      <c r="KLQ32" s="672"/>
      <c r="KLR32" s="672"/>
      <c r="KLS32" s="672"/>
      <c r="KLT32" s="672"/>
      <c r="KLU32" s="672"/>
      <c r="KLV32" s="672"/>
      <c r="KLW32" s="672"/>
      <c r="KLX32" s="672"/>
      <c r="KLY32" s="672"/>
      <c r="KLZ32" s="672"/>
      <c r="KMA32" s="672"/>
      <c r="KMB32" s="672"/>
      <c r="KMC32" s="672"/>
      <c r="KMD32" s="672"/>
      <c r="KME32" s="672"/>
      <c r="KMF32" s="672"/>
      <c r="KMG32" s="672"/>
      <c r="KMH32" s="672"/>
      <c r="KMI32" s="672"/>
      <c r="KMJ32" s="672"/>
      <c r="KMK32" s="672"/>
      <c r="KML32" s="672"/>
      <c r="KMM32" s="672"/>
      <c r="KMN32" s="672"/>
      <c r="KMO32" s="672"/>
      <c r="KMP32" s="672"/>
      <c r="KMQ32" s="672"/>
      <c r="KMR32" s="672"/>
      <c r="KMS32" s="672"/>
      <c r="KMT32" s="672"/>
      <c r="KMU32" s="672"/>
      <c r="KMV32" s="672"/>
      <c r="KMW32" s="672"/>
      <c r="KMX32" s="672"/>
      <c r="KMY32" s="672"/>
      <c r="KMZ32" s="672"/>
      <c r="KNA32" s="672"/>
      <c r="KNB32" s="672"/>
      <c r="KNC32" s="672"/>
      <c r="KND32" s="672"/>
      <c r="KNE32" s="672"/>
      <c r="KNF32" s="672"/>
      <c r="KNG32" s="672"/>
      <c r="KNH32" s="672"/>
      <c r="KNI32" s="672"/>
      <c r="KNJ32" s="672"/>
      <c r="KNK32" s="672"/>
      <c r="KNL32" s="672"/>
      <c r="KNM32" s="672"/>
      <c r="KNN32" s="672"/>
      <c r="KNO32" s="672"/>
      <c r="KNP32" s="672"/>
      <c r="KNQ32" s="672"/>
      <c r="KNR32" s="672"/>
      <c r="KNS32" s="672"/>
      <c r="KNT32" s="672"/>
      <c r="KNU32" s="672"/>
      <c r="KNV32" s="672"/>
      <c r="KNW32" s="672"/>
      <c r="KNX32" s="672"/>
      <c r="KNY32" s="672"/>
      <c r="KNZ32" s="672"/>
      <c r="KOA32" s="672"/>
      <c r="KOB32" s="672"/>
      <c r="KOC32" s="672"/>
      <c r="KOD32" s="672"/>
      <c r="KOE32" s="672"/>
      <c r="KOF32" s="672"/>
      <c r="KOG32" s="672"/>
      <c r="KOH32" s="672"/>
      <c r="KOI32" s="672"/>
      <c r="KOJ32" s="672"/>
      <c r="KOK32" s="672"/>
      <c r="KOL32" s="672"/>
      <c r="KOM32" s="672"/>
      <c r="KON32" s="672"/>
      <c r="KOO32" s="672"/>
      <c r="KOP32" s="672"/>
      <c r="KOQ32" s="672"/>
      <c r="KOR32" s="672"/>
      <c r="KOS32" s="672"/>
      <c r="KOT32" s="672"/>
      <c r="KOU32" s="672"/>
      <c r="KOV32" s="672"/>
      <c r="KOW32" s="672"/>
      <c r="KOX32" s="672"/>
      <c r="KOY32" s="672"/>
      <c r="KOZ32" s="672"/>
      <c r="KPA32" s="672"/>
      <c r="KPB32" s="672"/>
      <c r="KPC32" s="672"/>
      <c r="KPD32" s="672"/>
      <c r="KPE32" s="672"/>
      <c r="KPF32" s="672"/>
      <c r="KPG32" s="672"/>
      <c r="KPH32" s="672"/>
      <c r="KPI32" s="672"/>
      <c r="KPJ32" s="672"/>
      <c r="KPK32" s="672"/>
      <c r="KPL32" s="672"/>
      <c r="KPM32" s="672"/>
      <c r="KPN32" s="672"/>
      <c r="KPO32" s="672"/>
      <c r="KPP32" s="672"/>
      <c r="KPQ32" s="672"/>
      <c r="KPR32" s="672"/>
      <c r="KPS32" s="672"/>
      <c r="KPT32" s="672"/>
      <c r="KPU32" s="672"/>
      <c r="KPV32" s="672"/>
      <c r="KPW32" s="672"/>
      <c r="KPX32" s="672"/>
      <c r="KPY32" s="672"/>
      <c r="KPZ32" s="672"/>
      <c r="KQA32" s="672"/>
      <c r="KQB32" s="672"/>
      <c r="KQC32" s="672"/>
      <c r="KQD32" s="672"/>
      <c r="KQE32" s="672"/>
      <c r="KQF32" s="672"/>
      <c r="KQG32" s="672"/>
      <c r="KQH32" s="672"/>
      <c r="KQI32" s="672"/>
      <c r="KQJ32" s="672"/>
      <c r="KQK32" s="672"/>
      <c r="KQL32" s="672"/>
      <c r="KQM32" s="672"/>
      <c r="KQN32" s="672"/>
      <c r="KQO32" s="672"/>
      <c r="KQP32" s="672"/>
      <c r="KQQ32" s="672"/>
      <c r="KQR32" s="672"/>
      <c r="KQS32" s="672"/>
      <c r="KQT32" s="672"/>
      <c r="KQU32" s="672"/>
      <c r="KQV32" s="672"/>
      <c r="KQW32" s="672"/>
      <c r="KQX32" s="672"/>
      <c r="KQY32" s="672"/>
      <c r="KQZ32" s="672"/>
      <c r="KRA32" s="672"/>
      <c r="KRB32" s="672"/>
      <c r="KRC32" s="672"/>
      <c r="KRD32" s="672"/>
      <c r="KRE32" s="672"/>
      <c r="KRF32" s="672"/>
      <c r="KRG32" s="672"/>
      <c r="KRH32" s="672"/>
      <c r="KRI32" s="672"/>
      <c r="KRJ32" s="672"/>
      <c r="KRK32" s="672"/>
      <c r="KRL32" s="672"/>
      <c r="KRM32" s="672"/>
      <c r="KRN32" s="672"/>
      <c r="KRO32" s="672"/>
      <c r="KRP32" s="672"/>
      <c r="KRQ32" s="672"/>
      <c r="KRR32" s="672"/>
      <c r="KRS32" s="672"/>
      <c r="KRT32" s="672"/>
      <c r="KRU32" s="672"/>
      <c r="KRV32" s="672"/>
      <c r="KRW32" s="672"/>
      <c r="KRX32" s="672"/>
      <c r="KRY32" s="672"/>
      <c r="KRZ32" s="672"/>
      <c r="KSA32" s="672"/>
      <c r="KSB32" s="672"/>
      <c r="KSC32" s="672"/>
      <c r="KSD32" s="672"/>
      <c r="KSE32" s="672"/>
      <c r="KSF32" s="672"/>
      <c r="KSG32" s="672"/>
      <c r="KSH32" s="672"/>
      <c r="KSI32" s="672"/>
      <c r="KSJ32" s="672"/>
      <c r="KSK32" s="672"/>
      <c r="KSL32" s="672"/>
      <c r="KSM32" s="672"/>
      <c r="KSN32" s="672"/>
      <c r="KSO32" s="672"/>
      <c r="KSP32" s="672"/>
      <c r="KSQ32" s="672"/>
      <c r="KSR32" s="672"/>
      <c r="KSS32" s="672"/>
      <c r="KST32" s="672"/>
      <c r="KSU32" s="672"/>
      <c r="KSV32" s="672"/>
      <c r="KSW32" s="672"/>
      <c r="KSX32" s="672"/>
      <c r="KSY32" s="672"/>
      <c r="KSZ32" s="672"/>
      <c r="KTA32" s="672"/>
      <c r="KTB32" s="672"/>
      <c r="KTC32" s="672"/>
      <c r="KTD32" s="672"/>
      <c r="KTE32" s="672"/>
      <c r="KTF32" s="672"/>
      <c r="KTG32" s="672"/>
      <c r="KTH32" s="672"/>
      <c r="KTI32" s="672"/>
      <c r="KTJ32" s="672"/>
      <c r="KTK32" s="672"/>
      <c r="KTL32" s="672"/>
      <c r="KTM32" s="672"/>
      <c r="KTN32" s="672"/>
      <c r="KTO32" s="672"/>
      <c r="KTP32" s="672"/>
      <c r="KTQ32" s="672"/>
      <c r="KTR32" s="672"/>
      <c r="KTS32" s="672"/>
      <c r="KTT32" s="672"/>
      <c r="KTU32" s="672"/>
      <c r="KTV32" s="672"/>
      <c r="KTW32" s="672"/>
      <c r="KTX32" s="672"/>
      <c r="KTY32" s="672"/>
      <c r="KTZ32" s="672"/>
      <c r="KUA32" s="672"/>
      <c r="KUB32" s="672"/>
      <c r="KUC32" s="672"/>
      <c r="KUD32" s="672"/>
      <c r="KUE32" s="672"/>
      <c r="KUF32" s="672"/>
      <c r="KUG32" s="672"/>
      <c r="KUH32" s="672"/>
      <c r="KUI32" s="672"/>
      <c r="KUJ32" s="672"/>
      <c r="KUK32" s="672"/>
      <c r="KUL32" s="672"/>
      <c r="KUM32" s="672"/>
      <c r="KUN32" s="672"/>
      <c r="KUO32" s="672"/>
      <c r="KUP32" s="672"/>
      <c r="KUQ32" s="672"/>
      <c r="KUR32" s="672"/>
      <c r="KUS32" s="672"/>
      <c r="KUT32" s="672"/>
      <c r="KUU32" s="672"/>
      <c r="KUV32" s="672"/>
      <c r="KUW32" s="672"/>
      <c r="KUX32" s="672"/>
      <c r="KUY32" s="672"/>
      <c r="KUZ32" s="672"/>
      <c r="KVA32" s="672"/>
      <c r="KVB32" s="672"/>
      <c r="KVC32" s="672"/>
      <c r="KVD32" s="672"/>
      <c r="KVE32" s="672"/>
      <c r="KVF32" s="672"/>
      <c r="KVG32" s="672"/>
      <c r="KVH32" s="672"/>
      <c r="KVI32" s="672"/>
      <c r="KVJ32" s="672"/>
      <c r="KVK32" s="672"/>
      <c r="KVL32" s="672"/>
      <c r="KVM32" s="672"/>
      <c r="KVN32" s="672"/>
      <c r="KVO32" s="672"/>
      <c r="KVP32" s="672"/>
      <c r="KVQ32" s="672"/>
      <c r="KVR32" s="672"/>
      <c r="KVS32" s="672"/>
      <c r="KVT32" s="672"/>
      <c r="KVU32" s="672"/>
      <c r="KVV32" s="672"/>
      <c r="KVW32" s="672"/>
      <c r="KVX32" s="672"/>
      <c r="KVY32" s="672"/>
      <c r="KVZ32" s="672"/>
      <c r="KWA32" s="672"/>
      <c r="KWB32" s="672"/>
      <c r="KWC32" s="672"/>
      <c r="KWD32" s="672"/>
      <c r="KWE32" s="672"/>
      <c r="KWF32" s="672"/>
      <c r="KWG32" s="672"/>
      <c r="KWH32" s="672"/>
      <c r="KWI32" s="672"/>
      <c r="KWJ32" s="672"/>
      <c r="KWK32" s="672"/>
      <c r="KWL32" s="672"/>
      <c r="KWM32" s="672"/>
      <c r="KWN32" s="672"/>
      <c r="KWO32" s="672"/>
      <c r="KWP32" s="672"/>
      <c r="KWQ32" s="672"/>
      <c r="KWR32" s="672"/>
      <c r="KWS32" s="672"/>
      <c r="KWT32" s="672"/>
      <c r="KWU32" s="672"/>
      <c r="KWV32" s="672"/>
      <c r="KWW32" s="672"/>
      <c r="KWX32" s="672"/>
      <c r="KWY32" s="672"/>
      <c r="KWZ32" s="672"/>
      <c r="KXA32" s="672"/>
      <c r="KXB32" s="672"/>
      <c r="KXC32" s="672"/>
      <c r="KXD32" s="672"/>
      <c r="KXE32" s="672"/>
      <c r="KXF32" s="672"/>
      <c r="KXG32" s="672"/>
      <c r="KXH32" s="672"/>
      <c r="KXI32" s="672"/>
      <c r="KXJ32" s="672"/>
      <c r="KXK32" s="672"/>
      <c r="KXL32" s="672"/>
      <c r="KXM32" s="672"/>
      <c r="KXN32" s="672"/>
      <c r="KXO32" s="672"/>
      <c r="KXP32" s="672"/>
      <c r="KXQ32" s="672"/>
      <c r="KXR32" s="672"/>
      <c r="KXS32" s="672"/>
      <c r="KXT32" s="672"/>
      <c r="KXU32" s="672"/>
      <c r="KXV32" s="672"/>
      <c r="KXW32" s="672"/>
      <c r="KXX32" s="672"/>
      <c r="KXY32" s="672"/>
      <c r="KXZ32" s="672"/>
      <c r="KYA32" s="672"/>
      <c r="KYB32" s="672"/>
      <c r="KYC32" s="672"/>
      <c r="KYD32" s="672"/>
      <c r="KYE32" s="672"/>
      <c r="KYF32" s="672"/>
      <c r="KYG32" s="672"/>
      <c r="KYH32" s="672"/>
      <c r="KYI32" s="672"/>
      <c r="KYJ32" s="672"/>
      <c r="KYK32" s="672"/>
      <c r="KYL32" s="672"/>
      <c r="KYM32" s="672"/>
      <c r="KYN32" s="672"/>
      <c r="KYO32" s="672"/>
      <c r="KYP32" s="672"/>
      <c r="KYQ32" s="672"/>
      <c r="KYR32" s="672"/>
      <c r="KYS32" s="672"/>
      <c r="KYT32" s="672"/>
      <c r="KYU32" s="672"/>
      <c r="KYV32" s="672"/>
      <c r="KYW32" s="672"/>
      <c r="KYX32" s="672"/>
      <c r="KYY32" s="672"/>
      <c r="KYZ32" s="672"/>
      <c r="KZA32" s="672"/>
      <c r="KZB32" s="672"/>
      <c r="KZC32" s="672"/>
      <c r="KZD32" s="672"/>
      <c r="KZE32" s="672"/>
      <c r="KZF32" s="672"/>
      <c r="KZG32" s="672"/>
      <c r="KZH32" s="672"/>
      <c r="KZI32" s="672"/>
      <c r="KZJ32" s="672"/>
      <c r="KZK32" s="672"/>
      <c r="KZL32" s="672"/>
      <c r="KZM32" s="672"/>
      <c r="KZN32" s="672"/>
      <c r="KZO32" s="672"/>
      <c r="KZP32" s="672"/>
      <c r="KZQ32" s="672"/>
      <c r="KZR32" s="672"/>
      <c r="KZS32" s="672"/>
      <c r="KZT32" s="672"/>
      <c r="KZU32" s="672"/>
      <c r="KZV32" s="672"/>
      <c r="KZW32" s="672"/>
      <c r="KZX32" s="672"/>
      <c r="KZY32" s="672"/>
      <c r="KZZ32" s="672"/>
      <c r="LAA32" s="672"/>
      <c r="LAB32" s="672"/>
      <c r="LAC32" s="672"/>
      <c r="LAD32" s="672"/>
      <c r="LAE32" s="672"/>
      <c r="LAF32" s="672"/>
      <c r="LAG32" s="672"/>
      <c r="LAH32" s="672"/>
      <c r="LAI32" s="672"/>
      <c r="LAJ32" s="672"/>
      <c r="LAK32" s="672"/>
      <c r="LAL32" s="672"/>
      <c r="LAM32" s="672"/>
      <c r="LAN32" s="672"/>
      <c r="LAO32" s="672"/>
      <c r="LAP32" s="672"/>
      <c r="LAQ32" s="672"/>
      <c r="LAR32" s="672"/>
      <c r="LAS32" s="672"/>
      <c r="LAT32" s="672"/>
      <c r="LAU32" s="672"/>
      <c r="LAV32" s="672"/>
      <c r="LAW32" s="672"/>
      <c r="LAX32" s="672"/>
      <c r="LAY32" s="672"/>
      <c r="LAZ32" s="672"/>
      <c r="LBA32" s="672"/>
      <c r="LBB32" s="672"/>
      <c r="LBC32" s="672"/>
      <c r="LBD32" s="672"/>
      <c r="LBE32" s="672"/>
      <c r="LBF32" s="672"/>
      <c r="LBG32" s="672"/>
      <c r="LBH32" s="672"/>
      <c r="LBI32" s="672"/>
      <c r="LBJ32" s="672"/>
      <c r="LBK32" s="672"/>
      <c r="LBL32" s="672"/>
      <c r="LBM32" s="672"/>
      <c r="LBN32" s="672"/>
      <c r="LBO32" s="672"/>
      <c r="LBP32" s="672"/>
      <c r="LBQ32" s="672"/>
      <c r="LBR32" s="672"/>
      <c r="LBS32" s="672"/>
      <c r="LBT32" s="672"/>
      <c r="LBU32" s="672"/>
      <c r="LBV32" s="672"/>
      <c r="LBW32" s="672"/>
      <c r="LBX32" s="672"/>
      <c r="LBY32" s="672"/>
      <c r="LBZ32" s="672"/>
      <c r="LCA32" s="672"/>
      <c r="LCB32" s="672"/>
      <c r="LCC32" s="672"/>
      <c r="LCD32" s="672"/>
      <c r="LCE32" s="672"/>
      <c r="LCF32" s="672"/>
      <c r="LCG32" s="672"/>
      <c r="LCH32" s="672"/>
      <c r="LCI32" s="672"/>
      <c r="LCJ32" s="672"/>
      <c r="LCK32" s="672"/>
      <c r="LCL32" s="672"/>
      <c r="LCM32" s="672"/>
      <c r="LCN32" s="672"/>
      <c r="LCO32" s="672"/>
      <c r="LCP32" s="672"/>
      <c r="LCQ32" s="672"/>
      <c r="LCR32" s="672"/>
      <c r="LCS32" s="672"/>
      <c r="LCT32" s="672"/>
      <c r="LCU32" s="672"/>
      <c r="LCV32" s="672"/>
      <c r="LCW32" s="672"/>
      <c r="LCX32" s="672"/>
      <c r="LCY32" s="672"/>
      <c r="LCZ32" s="672"/>
      <c r="LDA32" s="672"/>
      <c r="LDB32" s="672"/>
      <c r="LDC32" s="672"/>
      <c r="LDD32" s="672"/>
      <c r="LDE32" s="672"/>
      <c r="LDF32" s="672"/>
      <c r="LDG32" s="672"/>
      <c r="LDH32" s="672"/>
      <c r="LDI32" s="672"/>
      <c r="LDJ32" s="672"/>
      <c r="LDK32" s="672"/>
      <c r="LDL32" s="672"/>
      <c r="LDM32" s="672"/>
      <c r="LDN32" s="672"/>
      <c r="LDO32" s="672"/>
      <c r="LDP32" s="672"/>
      <c r="LDQ32" s="672"/>
      <c r="LDR32" s="672"/>
      <c r="LDS32" s="672"/>
      <c r="LDT32" s="672"/>
      <c r="LDU32" s="672"/>
      <c r="LDV32" s="672"/>
      <c r="LDW32" s="672"/>
      <c r="LDX32" s="672"/>
      <c r="LDY32" s="672"/>
      <c r="LDZ32" s="672"/>
      <c r="LEA32" s="672"/>
      <c r="LEB32" s="672"/>
      <c r="LEC32" s="672"/>
      <c r="LED32" s="672"/>
      <c r="LEE32" s="672"/>
      <c r="LEF32" s="672"/>
      <c r="LEG32" s="672"/>
      <c r="LEH32" s="672"/>
      <c r="LEI32" s="672"/>
      <c r="LEJ32" s="672"/>
      <c r="LEK32" s="672"/>
      <c r="LEL32" s="672"/>
      <c r="LEM32" s="672"/>
      <c r="LEN32" s="672"/>
      <c r="LEO32" s="672"/>
      <c r="LEP32" s="672"/>
      <c r="LEQ32" s="672"/>
      <c r="LER32" s="672"/>
      <c r="LES32" s="672"/>
      <c r="LET32" s="672"/>
      <c r="LEU32" s="672"/>
      <c r="LEV32" s="672"/>
      <c r="LEW32" s="672"/>
      <c r="LEX32" s="672"/>
      <c r="LEY32" s="672"/>
      <c r="LEZ32" s="672"/>
      <c r="LFA32" s="672"/>
      <c r="LFB32" s="672"/>
      <c r="LFC32" s="672"/>
      <c r="LFD32" s="672"/>
      <c r="LFE32" s="672"/>
      <c r="LFF32" s="672"/>
      <c r="LFG32" s="672"/>
      <c r="LFH32" s="672"/>
      <c r="LFI32" s="672"/>
      <c r="LFJ32" s="672"/>
      <c r="LFK32" s="672"/>
      <c r="LFL32" s="672"/>
      <c r="LFM32" s="672"/>
      <c r="LFN32" s="672"/>
      <c r="LFO32" s="672"/>
      <c r="LFP32" s="672"/>
      <c r="LFQ32" s="672"/>
      <c r="LFR32" s="672"/>
      <c r="LFS32" s="672"/>
      <c r="LFT32" s="672"/>
      <c r="LFU32" s="672"/>
      <c r="LFV32" s="672"/>
      <c r="LFW32" s="672"/>
      <c r="LFX32" s="672"/>
      <c r="LFY32" s="672"/>
      <c r="LFZ32" s="672"/>
      <c r="LGA32" s="672"/>
      <c r="LGB32" s="672"/>
      <c r="LGC32" s="672"/>
      <c r="LGD32" s="672"/>
      <c r="LGE32" s="672"/>
      <c r="LGF32" s="672"/>
      <c r="LGG32" s="672"/>
      <c r="LGH32" s="672"/>
      <c r="LGI32" s="672"/>
      <c r="LGJ32" s="672"/>
      <c r="LGK32" s="672"/>
      <c r="LGL32" s="672"/>
      <c r="LGM32" s="672"/>
      <c r="LGN32" s="672"/>
      <c r="LGO32" s="672"/>
      <c r="LGP32" s="672"/>
      <c r="LGQ32" s="672"/>
      <c r="LGR32" s="672"/>
      <c r="LGS32" s="672"/>
      <c r="LGT32" s="672"/>
      <c r="LGU32" s="672"/>
      <c r="LGV32" s="672"/>
      <c r="LGW32" s="672"/>
      <c r="LGX32" s="672"/>
      <c r="LGY32" s="672"/>
      <c r="LGZ32" s="672"/>
      <c r="LHA32" s="672"/>
      <c r="LHB32" s="672"/>
      <c r="LHC32" s="672"/>
      <c r="LHD32" s="672"/>
      <c r="LHE32" s="672"/>
      <c r="LHF32" s="672"/>
      <c r="LHG32" s="672"/>
      <c r="LHH32" s="672"/>
      <c r="LHI32" s="672"/>
      <c r="LHJ32" s="672"/>
      <c r="LHK32" s="672"/>
      <c r="LHL32" s="672"/>
      <c r="LHM32" s="672"/>
      <c r="LHN32" s="672"/>
      <c r="LHO32" s="672"/>
      <c r="LHP32" s="672"/>
      <c r="LHQ32" s="672"/>
      <c r="LHR32" s="672"/>
      <c r="LHS32" s="672"/>
      <c r="LHT32" s="672"/>
      <c r="LHU32" s="672"/>
      <c r="LHV32" s="672"/>
      <c r="LHW32" s="672"/>
      <c r="LHX32" s="672"/>
      <c r="LHY32" s="672"/>
      <c r="LHZ32" s="672"/>
      <c r="LIA32" s="672"/>
      <c r="LIB32" s="672"/>
      <c r="LIC32" s="672"/>
      <c r="LID32" s="672"/>
      <c r="LIE32" s="672"/>
      <c r="LIF32" s="672"/>
      <c r="LIG32" s="672"/>
      <c r="LIH32" s="672"/>
      <c r="LII32" s="672"/>
      <c r="LIJ32" s="672"/>
      <c r="LIK32" s="672"/>
      <c r="LIL32" s="672"/>
      <c r="LIM32" s="672"/>
      <c r="LIN32" s="672"/>
      <c r="LIO32" s="672"/>
      <c r="LIP32" s="672"/>
      <c r="LIQ32" s="672"/>
      <c r="LIR32" s="672"/>
      <c r="LIS32" s="672"/>
      <c r="LIT32" s="672"/>
      <c r="LIU32" s="672"/>
      <c r="LIV32" s="672"/>
      <c r="LIW32" s="672"/>
      <c r="LIX32" s="672"/>
      <c r="LIY32" s="672"/>
      <c r="LIZ32" s="672"/>
      <c r="LJA32" s="672"/>
      <c r="LJB32" s="672"/>
      <c r="LJC32" s="672"/>
      <c r="LJD32" s="672"/>
      <c r="LJE32" s="672"/>
      <c r="LJF32" s="672"/>
      <c r="LJG32" s="672"/>
      <c r="LJH32" s="672"/>
      <c r="LJI32" s="672"/>
      <c r="LJJ32" s="672"/>
      <c r="LJK32" s="672"/>
      <c r="LJL32" s="672"/>
      <c r="LJM32" s="672"/>
      <c r="LJN32" s="672"/>
      <c r="LJO32" s="672"/>
      <c r="LJP32" s="672"/>
      <c r="LJQ32" s="672"/>
      <c r="LJR32" s="672"/>
      <c r="LJS32" s="672"/>
      <c r="LJT32" s="672"/>
      <c r="LJU32" s="672"/>
      <c r="LJV32" s="672"/>
      <c r="LJW32" s="672"/>
      <c r="LJX32" s="672"/>
      <c r="LJY32" s="672"/>
      <c r="LJZ32" s="672"/>
      <c r="LKA32" s="672"/>
      <c r="LKB32" s="672"/>
      <c r="LKC32" s="672"/>
      <c r="LKD32" s="672"/>
      <c r="LKE32" s="672"/>
      <c r="LKF32" s="672"/>
      <c r="LKG32" s="672"/>
      <c r="LKH32" s="672"/>
      <c r="LKI32" s="672"/>
      <c r="LKJ32" s="672"/>
      <c r="LKK32" s="672"/>
      <c r="LKL32" s="672"/>
      <c r="LKM32" s="672"/>
      <c r="LKN32" s="672"/>
      <c r="LKO32" s="672"/>
      <c r="LKP32" s="672"/>
      <c r="LKQ32" s="672"/>
      <c r="LKR32" s="672"/>
      <c r="LKS32" s="672"/>
      <c r="LKT32" s="672"/>
      <c r="LKU32" s="672"/>
      <c r="LKV32" s="672"/>
      <c r="LKW32" s="672"/>
      <c r="LKX32" s="672"/>
      <c r="LKY32" s="672"/>
      <c r="LKZ32" s="672"/>
      <c r="LLA32" s="672"/>
      <c r="LLB32" s="672"/>
      <c r="LLC32" s="672"/>
      <c r="LLD32" s="672"/>
      <c r="LLE32" s="672"/>
      <c r="LLF32" s="672"/>
      <c r="LLG32" s="672"/>
      <c r="LLH32" s="672"/>
      <c r="LLI32" s="672"/>
      <c r="LLJ32" s="672"/>
      <c r="LLK32" s="672"/>
      <c r="LLL32" s="672"/>
      <c r="LLM32" s="672"/>
      <c r="LLN32" s="672"/>
      <c r="LLO32" s="672"/>
      <c r="LLP32" s="672"/>
      <c r="LLQ32" s="672"/>
      <c r="LLR32" s="672"/>
      <c r="LLS32" s="672"/>
      <c r="LLT32" s="672"/>
      <c r="LLU32" s="672"/>
      <c r="LLV32" s="672"/>
      <c r="LLW32" s="672"/>
      <c r="LLX32" s="672"/>
      <c r="LLY32" s="672"/>
      <c r="LLZ32" s="672"/>
      <c r="LMA32" s="672"/>
      <c r="LMB32" s="672"/>
      <c r="LMC32" s="672"/>
      <c r="LMD32" s="672"/>
      <c r="LME32" s="672"/>
      <c r="LMF32" s="672"/>
      <c r="LMG32" s="672"/>
      <c r="LMH32" s="672"/>
      <c r="LMI32" s="672"/>
      <c r="LMJ32" s="672"/>
      <c r="LMK32" s="672"/>
      <c r="LML32" s="672"/>
      <c r="LMM32" s="672"/>
      <c r="LMN32" s="672"/>
      <c r="LMO32" s="672"/>
      <c r="LMP32" s="672"/>
      <c r="LMQ32" s="672"/>
      <c r="LMR32" s="672"/>
      <c r="LMS32" s="672"/>
      <c r="LMT32" s="672"/>
      <c r="LMU32" s="672"/>
      <c r="LMV32" s="672"/>
      <c r="LMW32" s="672"/>
      <c r="LMX32" s="672"/>
      <c r="LMY32" s="672"/>
      <c r="LMZ32" s="672"/>
      <c r="LNA32" s="672"/>
      <c r="LNB32" s="672"/>
      <c r="LNC32" s="672"/>
      <c r="LND32" s="672"/>
      <c r="LNE32" s="672"/>
      <c r="LNF32" s="672"/>
      <c r="LNG32" s="672"/>
      <c r="LNH32" s="672"/>
      <c r="LNI32" s="672"/>
      <c r="LNJ32" s="672"/>
      <c r="LNK32" s="672"/>
      <c r="LNL32" s="672"/>
      <c r="LNM32" s="672"/>
      <c r="LNN32" s="672"/>
      <c r="LNO32" s="672"/>
      <c r="LNP32" s="672"/>
      <c r="LNQ32" s="672"/>
      <c r="LNR32" s="672"/>
      <c r="LNS32" s="672"/>
      <c r="LNT32" s="672"/>
      <c r="LNU32" s="672"/>
      <c r="LNV32" s="672"/>
      <c r="LNW32" s="672"/>
      <c r="LNX32" s="672"/>
      <c r="LNY32" s="672"/>
      <c r="LNZ32" s="672"/>
      <c r="LOA32" s="672"/>
      <c r="LOB32" s="672"/>
      <c r="LOC32" s="672"/>
      <c r="LOD32" s="672"/>
      <c r="LOE32" s="672"/>
      <c r="LOF32" s="672"/>
      <c r="LOG32" s="672"/>
      <c r="LOH32" s="672"/>
      <c r="LOI32" s="672"/>
      <c r="LOJ32" s="672"/>
      <c r="LOK32" s="672"/>
      <c r="LOL32" s="672"/>
      <c r="LOM32" s="672"/>
      <c r="LON32" s="672"/>
      <c r="LOO32" s="672"/>
      <c r="LOP32" s="672"/>
      <c r="LOQ32" s="672"/>
      <c r="LOR32" s="672"/>
      <c r="LOS32" s="672"/>
      <c r="LOT32" s="672"/>
      <c r="LOU32" s="672"/>
      <c r="LOV32" s="672"/>
      <c r="LOW32" s="672"/>
      <c r="LOX32" s="672"/>
      <c r="LOY32" s="672"/>
      <c r="LOZ32" s="672"/>
      <c r="LPA32" s="672"/>
      <c r="LPB32" s="672"/>
      <c r="LPC32" s="672"/>
      <c r="LPD32" s="672"/>
      <c r="LPE32" s="672"/>
      <c r="LPF32" s="672"/>
      <c r="LPG32" s="672"/>
      <c r="LPH32" s="672"/>
      <c r="LPI32" s="672"/>
      <c r="LPJ32" s="672"/>
      <c r="LPK32" s="672"/>
      <c r="LPL32" s="672"/>
      <c r="LPM32" s="672"/>
      <c r="LPN32" s="672"/>
      <c r="LPO32" s="672"/>
      <c r="LPP32" s="672"/>
      <c r="LPQ32" s="672"/>
      <c r="LPR32" s="672"/>
      <c r="LPS32" s="672"/>
      <c r="LPT32" s="672"/>
      <c r="LPU32" s="672"/>
      <c r="LPV32" s="672"/>
      <c r="LPW32" s="672"/>
      <c r="LPX32" s="672"/>
      <c r="LPY32" s="672"/>
      <c r="LPZ32" s="672"/>
      <c r="LQA32" s="672"/>
      <c r="LQB32" s="672"/>
      <c r="LQC32" s="672"/>
      <c r="LQD32" s="672"/>
      <c r="LQE32" s="672"/>
      <c r="LQF32" s="672"/>
      <c r="LQG32" s="672"/>
      <c r="LQH32" s="672"/>
      <c r="LQI32" s="672"/>
      <c r="LQJ32" s="672"/>
      <c r="LQK32" s="672"/>
      <c r="LQL32" s="672"/>
      <c r="LQM32" s="672"/>
      <c r="LQN32" s="672"/>
      <c r="LQO32" s="672"/>
      <c r="LQP32" s="672"/>
      <c r="LQQ32" s="672"/>
      <c r="LQR32" s="672"/>
      <c r="LQS32" s="672"/>
      <c r="LQT32" s="672"/>
      <c r="LQU32" s="672"/>
      <c r="LQV32" s="672"/>
      <c r="LQW32" s="672"/>
      <c r="LQX32" s="672"/>
      <c r="LQY32" s="672"/>
      <c r="LQZ32" s="672"/>
      <c r="LRA32" s="672"/>
      <c r="LRB32" s="672"/>
      <c r="LRC32" s="672"/>
      <c r="LRD32" s="672"/>
      <c r="LRE32" s="672"/>
      <c r="LRF32" s="672"/>
      <c r="LRG32" s="672"/>
      <c r="LRH32" s="672"/>
      <c r="LRI32" s="672"/>
      <c r="LRJ32" s="672"/>
      <c r="LRK32" s="672"/>
      <c r="LRL32" s="672"/>
      <c r="LRM32" s="672"/>
      <c r="LRN32" s="672"/>
      <c r="LRO32" s="672"/>
      <c r="LRP32" s="672"/>
      <c r="LRQ32" s="672"/>
      <c r="LRR32" s="672"/>
      <c r="LRS32" s="672"/>
      <c r="LRT32" s="672"/>
      <c r="LRU32" s="672"/>
      <c r="LRV32" s="672"/>
      <c r="LRW32" s="672"/>
      <c r="LRX32" s="672"/>
      <c r="LRY32" s="672"/>
      <c r="LRZ32" s="672"/>
      <c r="LSA32" s="672"/>
      <c r="LSB32" s="672"/>
      <c r="LSC32" s="672"/>
      <c r="LSD32" s="672"/>
      <c r="LSE32" s="672"/>
      <c r="LSF32" s="672"/>
      <c r="LSG32" s="672"/>
      <c r="LSH32" s="672"/>
      <c r="LSI32" s="672"/>
      <c r="LSJ32" s="672"/>
      <c r="LSK32" s="672"/>
      <c r="LSL32" s="672"/>
      <c r="LSM32" s="672"/>
      <c r="LSN32" s="672"/>
      <c r="LSO32" s="672"/>
      <c r="LSP32" s="672"/>
      <c r="LSQ32" s="672"/>
      <c r="LSR32" s="672"/>
      <c r="LSS32" s="672"/>
      <c r="LST32" s="672"/>
      <c r="LSU32" s="672"/>
      <c r="LSV32" s="672"/>
      <c r="LSW32" s="672"/>
      <c r="LSX32" s="672"/>
      <c r="LSY32" s="672"/>
      <c r="LSZ32" s="672"/>
      <c r="LTA32" s="672"/>
      <c r="LTB32" s="672"/>
      <c r="LTC32" s="672"/>
      <c r="LTD32" s="672"/>
      <c r="LTE32" s="672"/>
      <c r="LTF32" s="672"/>
      <c r="LTG32" s="672"/>
      <c r="LTH32" s="672"/>
      <c r="LTI32" s="672"/>
      <c r="LTJ32" s="672"/>
      <c r="LTK32" s="672"/>
      <c r="LTL32" s="672"/>
      <c r="LTM32" s="672"/>
      <c r="LTN32" s="672"/>
      <c r="LTO32" s="672"/>
      <c r="LTP32" s="672"/>
      <c r="LTQ32" s="672"/>
      <c r="LTR32" s="672"/>
      <c r="LTS32" s="672"/>
      <c r="LTT32" s="672"/>
      <c r="LTU32" s="672"/>
      <c r="LTV32" s="672"/>
      <c r="LTW32" s="672"/>
      <c r="LTX32" s="672"/>
      <c r="LTY32" s="672"/>
      <c r="LTZ32" s="672"/>
      <c r="LUA32" s="672"/>
      <c r="LUB32" s="672"/>
      <c r="LUC32" s="672"/>
      <c r="LUD32" s="672"/>
      <c r="LUE32" s="672"/>
      <c r="LUF32" s="672"/>
      <c r="LUG32" s="672"/>
      <c r="LUH32" s="672"/>
      <c r="LUI32" s="672"/>
      <c r="LUJ32" s="672"/>
      <c r="LUK32" s="672"/>
      <c r="LUL32" s="672"/>
      <c r="LUM32" s="672"/>
      <c r="LUN32" s="672"/>
      <c r="LUO32" s="672"/>
      <c r="LUP32" s="672"/>
      <c r="LUQ32" s="672"/>
      <c r="LUR32" s="672"/>
      <c r="LUS32" s="672"/>
      <c r="LUT32" s="672"/>
      <c r="LUU32" s="672"/>
      <c r="LUV32" s="672"/>
      <c r="LUW32" s="672"/>
      <c r="LUX32" s="672"/>
      <c r="LUY32" s="672"/>
      <c r="LUZ32" s="672"/>
      <c r="LVA32" s="672"/>
      <c r="LVB32" s="672"/>
      <c r="LVC32" s="672"/>
      <c r="LVD32" s="672"/>
      <c r="LVE32" s="672"/>
      <c r="LVF32" s="672"/>
      <c r="LVG32" s="672"/>
      <c r="LVH32" s="672"/>
      <c r="LVI32" s="672"/>
      <c r="LVJ32" s="672"/>
      <c r="LVK32" s="672"/>
      <c r="LVL32" s="672"/>
      <c r="LVM32" s="672"/>
      <c r="LVN32" s="672"/>
      <c r="LVO32" s="672"/>
      <c r="LVP32" s="672"/>
      <c r="LVQ32" s="672"/>
      <c r="LVR32" s="672"/>
      <c r="LVS32" s="672"/>
      <c r="LVT32" s="672"/>
      <c r="LVU32" s="672"/>
      <c r="LVV32" s="672"/>
      <c r="LVW32" s="672"/>
      <c r="LVX32" s="672"/>
      <c r="LVY32" s="672"/>
      <c r="LVZ32" s="672"/>
      <c r="LWA32" s="672"/>
      <c r="LWB32" s="672"/>
      <c r="LWC32" s="672"/>
      <c r="LWD32" s="672"/>
      <c r="LWE32" s="672"/>
      <c r="LWF32" s="672"/>
      <c r="LWG32" s="672"/>
      <c r="LWH32" s="672"/>
      <c r="LWI32" s="672"/>
      <c r="LWJ32" s="672"/>
      <c r="LWK32" s="672"/>
      <c r="LWL32" s="672"/>
      <c r="LWM32" s="672"/>
      <c r="LWN32" s="672"/>
      <c r="LWO32" s="672"/>
      <c r="LWP32" s="672"/>
      <c r="LWQ32" s="672"/>
      <c r="LWR32" s="672"/>
      <c r="LWS32" s="672"/>
      <c r="LWT32" s="672"/>
      <c r="LWU32" s="672"/>
      <c r="LWV32" s="672"/>
      <c r="LWW32" s="672"/>
      <c r="LWX32" s="672"/>
      <c r="LWY32" s="672"/>
      <c r="LWZ32" s="672"/>
      <c r="LXA32" s="672"/>
      <c r="LXB32" s="672"/>
      <c r="LXC32" s="672"/>
      <c r="LXD32" s="672"/>
      <c r="LXE32" s="672"/>
      <c r="LXF32" s="672"/>
      <c r="LXG32" s="672"/>
      <c r="LXH32" s="672"/>
      <c r="LXI32" s="672"/>
      <c r="LXJ32" s="672"/>
      <c r="LXK32" s="672"/>
      <c r="LXL32" s="672"/>
      <c r="LXM32" s="672"/>
      <c r="LXN32" s="672"/>
      <c r="LXO32" s="672"/>
      <c r="LXP32" s="672"/>
      <c r="LXQ32" s="672"/>
      <c r="LXR32" s="672"/>
      <c r="LXS32" s="672"/>
      <c r="LXT32" s="672"/>
      <c r="LXU32" s="672"/>
      <c r="LXV32" s="672"/>
      <c r="LXW32" s="672"/>
      <c r="LXX32" s="672"/>
      <c r="LXY32" s="672"/>
      <c r="LXZ32" s="672"/>
      <c r="LYA32" s="672"/>
      <c r="LYB32" s="672"/>
      <c r="LYC32" s="672"/>
      <c r="LYD32" s="672"/>
      <c r="LYE32" s="672"/>
      <c r="LYF32" s="672"/>
      <c r="LYG32" s="672"/>
      <c r="LYH32" s="672"/>
      <c r="LYI32" s="672"/>
      <c r="LYJ32" s="672"/>
      <c r="LYK32" s="672"/>
      <c r="LYL32" s="672"/>
      <c r="LYM32" s="672"/>
      <c r="LYN32" s="672"/>
      <c r="LYO32" s="672"/>
      <c r="LYP32" s="672"/>
      <c r="LYQ32" s="672"/>
      <c r="LYR32" s="672"/>
      <c r="LYS32" s="672"/>
      <c r="LYT32" s="672"/>
      <c r="LYU32" s="672"/>
      <c r="LYV32" s="672"/>
      <c r="LYW32" s="672"/>
      <c r="LYX32" s="672"/>
      <c r="LYY32" s="672"/>
      <c r="LYZ32" s="672"/>
      <c r="LZA32" s="672"/>
      <c r="LZB32" s="672"/>
      <c r="LZC32" s="672"/>
      <c r="LZD32" s="672"/>
      <c r="LZE32" s="672"/>
      <c r="LZF32" s="672"/>
      <c r="LZG32" s="672"/>
      <c r="LZH32" s="672"/>
      <c r="LZI32" s="672"/>
      <c r="LZJ32" s="672"/>
      <c r="LZK32" s="672"/>
      <c r="LZL32" s="672"/>
      <c r="LZM32" s="672"/>
      <c r="LZN32" s="672"/>
      <c r="LZO32" s="672"/>
      <c r="LZP32" s="672"/>
      <c r="LZQ32" s="672"/>
      <c r="LZR32" s="672"/>
      <c r="LZS32" s="672"/>
      <c r="LZT32" s="672"/>
      <c r="LZU32" s="672"/>
      <c r="LZV32" s="672"/>
      <c r="LZW32" s="672"/>
      <c r="LZX32" s="672"/>
      <c r="LZY32" s="672"/>
      <c r="LZZ32" s="672"/>
      <c r="MAA32" s="672"/>
      <c r="MAB32" s="672"/>
      <c r="MAC32" s="672"/>
      <c r="MAD32" s="672"/>
      <c r="MAE32" s="672"/>
      <c r="MAF32" s="672"/>
      <c r="MAG32" s="672"/>
      <c r="MAH32" s="672"/>
      <c r="MAI32" s="672"/>
      <c r="MAJ32" s="672"/>
      <c r="MAK32" s="672"/>
      <c r="MAL32" s="672"/>
      <c r="MAM32" s="672"/>
      <c r="MAN32" s="672"/>
      <c r="MAO32" s="672"/>
      <c r="MAP32" s="672"/>
      <c r="MAQ32" s="672"/>
      <c r="MAR32" s="672"/>
      <c r="MAS32" s="672"/>
      <c r="MAT32" s="672"/>
      <c r="MAU32" s="672"/>
      <c r="MAV32" s="672"/>
      <c r="MAW32" s="672"/>
      <c r="MAX32" s="672"/>
      <c r="MAY32" s="672"/>
      <c r="MAZ32" s="672"/>
      <c r="MBA32" s="672"/>
      <c r="MBB32" s="672"/>
      <c r="MBC32" s="672"/>
      <c r="MBD32" s="672"/>
      <c r="MBE32" s="672"/>
      <c r="MBF32" s="672"/>
      <c r="MBG32" s="672"/>
      <c r="MBH32" s="672"/>
      <c r="MBI32" s="672"/>
      <c r="MBJ32" s="672"/>
      <c r="MBK32" s="672"/>
      <c r="MBL32" s="672"/>
      <c r="MBM32" s="672"/>
      <c r="MBN32" s="672"/>
      <c r="MBO32" s="672"/>
      <c r="MBP32" s="672"/>
      <c r="MBQ32" s="672"/>
      <c r="MBR32" s="672"/>
      <c r="MBS32" s="672"/>
      <c r="MBT32" s="672"/>
      <c r="MBU32" s="672"/>
      <c r="MBV32" s="672"/>
      <c r="MBW32" s="672"/>
      <c r="MBX32" s="672"/>
      <c r="MBY32" s="672"/>
      <c r="MBZ32" s="672"/>
      <c r="MCA32" s="672"/>
      <c r="MCB32" s="672"/>
      <c r="MCC32" s="672"/>
      <c r="MCD32" s="672"/>
      <c r="MCE32" s="672"/>
      <c r="MCF32" s="672"/>
      <c r="MCG32" s="672"/>
      <c r="MCH32" s="672"/>
      <c r="MCI32" s="672"/>
      <c r="MCJ32" s="672"/>
      <c r="MCK32" s="672"/>
      <c r="MCL32" s="672"/>
      <c r="MCM32" s="672"/>
      <c r="MCN32" s="672"/>
      <c r="MCO32" s="672"/>
      <c r="MCP32" s="672"/>
      <c r="MCQ32" s="672"/>
      <c r="MCR32" s="672"/>
      <c r="MCS32" s="672"/>
      <c r="MCT32" s="672"/>
      <c r="MCU32" s="672"/>
      <c r="MCV32" s="672"/>
      <c r="MCW32" s="672"/>
      <c r="MCX32" s="672"/>
      <c r="MCY32" s="672"/>
      <c r="MCZ32" s="672"/>
      <c r="MDA32" s="672"/>
      <c r="MDB32" s="672"/>
      <c r="MDC32" s="672"/>
      <c r="MDD32" s="672"/>
      <c r="MDE32" s="672"/>
      <c r="MDF32" s="672"/>
      <c r="MDG32" s="672"/>
      <c r="MDH32" s="672"/>
      <c r="MDI32" s="672"/>
      <c r="MDJ32" s="672"/>
      <c r="MDK32" s="672"/>
      <c r="MDL32" s="672"/>
      <c r="MDM32" s="672"/>
      <c r="MDN32" s="672"/>
      <c r="MDO32" s="672"/>
      <c r="MDP32" s="672"/>
      <c r="MDQ32" s="672"/>
      <c r="MDR32" s="672"/>
      <c r="MDS32" s="672"/>
      <c r="MDT32" s="672"/>
      <c r="MDU32" s="672"/>
      <c r="MDV32" s="672"/>
      <c r="MDW32" s="672"/>
      <c r="MDX32" s="672"/>
      <c r="MDY32" s="672"/>
      <c r="MDZ32" s="672"/>
      <c r="MEA32" s="672"/>
      <c r="MEB32" s="672"/>
      <c r="MEC32" s="672"/>
      <c r="MED32" s="672"/>
      <c r="MEE32" s="672"/>
      <c r="MEF32" s="672"/>
      <c r="MEG32" s="672"/>
      <c r="MEH32" s="672"/>
      <c r="MEI32" s="672"/>
      <c r="MEJ32" s="672"/>
      <c r="MEK32" s="672"/>
      <c r="MEL32" s="672"/>
      <c r="MEM32" s="672"/>
      <c r="MEN32" s="672"/>
      <c r="MEO32" s="672"/>
      <c r="MEP32" s="672"/>
      <c r="MEQ32" s="672"/>
      <c r="MER32" s="672"/>
      <c r="MES32" s="672"/>
      <c r="MET32" s="672"/>
      <c r="MEU32" s="672"/>
      <c r="MEV32" s="672"/>
      <c r="MEW32" s="672"/>
      <c r="MEX32" s="672"/>
      <c r="MEY32" s="672"/>
      <c r="MEZ32" s="672"/>
      <c r="MFA32" s="672"/>
      <c r="MFB32" s="672"/>
      <c r="MFC32" s="672"/>
      <c r="MFD32" s="672"/>
      <c r="MFE32" s="672"/>
      <c r="MFF32" s="672"/>
      <c r="MFG32" s="672"/>
      <c r="MFH32" s="672"/>
      <c r="MFI32" s="672"/>
      <c r="MFJ32" s="672"/>
      <c r="MFK32" s="672"/>
      <c r="MFL32" s="672"/>
      <c r="MFM32" s="672"/>
      <c r="MFN32" s="672"/>
      <c r="MFO32" s="672"/>
      <c r="MFP32" s="672"/>
      <c r="MFQ32" s="672"/>
      <c r="MFR32" s="672"/>
      <c r="MFS32" s="672"/>
      <c r="MFT32" s="672"/>
      <c r="MFU32" s="672"/>
      <c r="MFV32" s="672"/>
      <c r="MFW32" s="672"/>
      <c r="MFX32" s="672"/>
      <c r="MFY32" s="672"/>
      <c r="MFZ32" s="672"/>
      <c r="MGA32" s="672"/>
      <c r="MGB32" s="672"/>
      <c r="MGC32" s="672"/>
      <c r="MGD32" s="672"/>
      <c r="MGE32" s="672"/>
      <c r="MGF32" s="672"/>
      <c r="MGG32" s="672"/>
      <c r="MGH32" s="672"/>
      <c r="MGI32" s="672"/>
      <c r="MGJ32" s="672"/>
      <c r="MGK32" s="672"/>
      <c r="MGL32" s="672"/>
      <c r="MGM32" s="672"/>
      <c r="MGN32" s="672"/>
      <c r="MGO32" s="672"/>
      <c r="MGP32" s="672"/>
      <c r="MGQ32" s="672"/>
      <c r="MGR32" s="672"/>
      <c r="MGS32" s="672"/>
      <c r="MGT32" s="672"/>
      <c r="MGU32" s="672"/>
      <c r="MGV32" s="672"/>
      <c r="MGW32" s="672"/>
      <c r="MGX32" s="672"/>
      <c r="MGY32" s="672"/>
      <c r="MGZ32" s="672"/>
      <c r="MHA32" s="672"/>
      <c r="MHB32" s="672"/>
      <c r="MHC32" s="672"/>
      <c r="MHD32" s="672"/>
      <c r="MHE32" s="672"/>
      <c r="MHF32" s="672"/>
      <c r="MHG32" s="672"/>
      <c r="MHH32" s="672"/>
      <c r="MHI32" s="672"/>
      <c r="MHJ32" s="672"/>
      <c r="MHK32" s="672"/>
      <c r="MHL32" s="672"/>
      <c r="MHM32" s="672"/>
      <c r="MHN32" s="672"/>
      <c r="MHO32" s="672"/>
      <c r="MHP32" s="672"/>
      <c r="MHQ32" s="672"/>
      <c r="MHR32" s="672"/>
      <c r="MHS32" s="672"/>
      <c r="MHT32" s="672"/>
      <c r="MHU32" s="672"/>
      <c r="MHV32" s="672"/>
      <c r="MHW32" s="672"/>
      <c r="MHX32" s="672"/>
      <c r="MHY32" s="672"/>
      <c r="MHZ32" s="672"/>
      <c r="MIA32" s="672"/>
      <c r="MIB32" s="672"/>
      <c r="MIC32" s="672"/>
      <c r="MID32" s="672"/>
      <c r="MIE32" s="672"/>
      <c r="MIF32" s="672"/>
      <c r="MIG32" s="672"/>
      <c r="MIH32" s="672"/>
      <c r="MII32" s="672"/>
      <c r="MIJ32" s="672"/>
      <c r="MIK32" s="672"/>
      <c r="MIL32" s="672"/>
      <c r="MIM32" s="672"/>
      <c r="MIN32" s="672"/>
      <c r="MIO32" s="672"/>
      <c r="MIP32" s="672"/>
      <c r="MIQ32" s="672"/>
      <c r="MIR32" s="672"/>
      <c r="MIS32" s="672"/>
      <c r="MIT32" s="672"/>
      <c r="MIU32" s="672"/>
      <c r="MIV32" s="672"/>
      <c r="MIW32" s="672"/>
      <c r="MIX32" s="672"/>
      <c r="MIY32" s="672"/>
      <c r="MIZ32" s="672"/>
      <c r="MJA32" s="672"/>
      <c r="MJB32" s="672"/>
      <c r="MJC32" s="672"/>
      <c r="MJD32" s="672"/>
      <c r="MJE32" s="672"/>
      <c r="MJF32" s="672"/>
      <c r="MJG32" s="672"/>
      <c r="MJH32" s="672"/>
      <c r="MJI32" s="672"/>
      <c r="MJJ32" s="672"/>
      <c r="MJK32" s="672"/>
      <c r="MJL32" s="672"/>
      <c r="MJM32" s="672"/>
      <c r="MJN32" s="672"/>
      <c r="MJO32" s="672"/>
      <c r="MJP32" s="672"/>
      <c r="MJQ32" s="672"/>
      <c r="MJR32" s="672"/>
      <c r="MJS32" s="672"/>
      <c r="MJT32" s="672"/>
      <c r="MJU32" s="672"/>
      <c r="MJV32" s="672"/>
      <c r="MJW32" s="672"/>
      <c r="MJX32" s="672"/>
      <c r="MJY32" s="672"/>
      <c r="MJZ32" s="672"/>
      <c r="MKA32" s="672"/>
      <c r="MKB32" s="672"/>
      <c r="MKC32" s="672"/>
      <c r="MKD32" s="672"/>
      <c r="MKE32" s="672"/>
      <c r="MKF32" s="672"/>
      <c r="MKG32" s="672"/>
      <c r="MKH32" s="672"/>
      <c r="MKI32" s="672"/>
      <c r="MKJ32" s="672"/>
      <c r="MKK32" s="672"/>
      <c r="MKL32" s="672"/>
      <c r="MKM32" s="672"/>
      <c r="MKN32" s="672"/>
      <c r="MKO32" s="672"/>
      <c r="MKP32" s="672"/>
      <c r="MKQ32" s="672"/>
      <c r="MKR32" s="672"/>
      <c r="MKS32" s="672"/>
      <c r="MKT32" s="672"/>
      <c r="MKU32" s="672"/>
      <c r="MKV32" s="672"/>
      <c r="MKW32" s="672"/>
      <c r="MKX32" s="672"/>
      <c r="MKY32" s="672"/>
      <c r="MKZ32" s="672"/>
      <c r="MLA32" s="672"/>
      <c r="MLB32" s="672"/>
      <c r="MLC32" s="672"/>
      <c r="MLD32" s="672"/>
      <c r="MLE32" s="672"/>
      <c r="MLF32" s="672"/>
      <c r="MLG32" s="672"/>
      <c r="MLH32" s="672"/>
      <c r="MLI32" s="672"/>
      <c r="MLJ32" s="672"/>
      <c r="MLK32" s="672"/>
      <c r="MLL32" s="672"/>
      <c r="MLM32" s="672"/>
      <c r="MLN32" s="672"/>
      <c r="MLO32" s="672"/>
      <c r="MLP32" s="672"/>
      <c r="MLQ32" s="672"/>
      <c r="MLR32" s="672"/>
      <c r="MLS32" s="672"/>
      <c r="MLT32" s="672"/>
      <c r="MLU32" s="672"/>
      <c r="MLV32" s="672"/>
      <c r="MLW32" s="672"/>
      <c r="MLX32" s="672"/>
      <c r="MLY32" s="672"/>
      <c r="MLZ32" s="672"/>
      <c r="MMA32" s="672"/>
      <c r="MMB32" s="672"/>
      <c r="MMC32" s="672"/>
      <c r="MMD32" s="672"/>
      <c r="MME32" s="672"/>
      <c r="MMF32" s="672"/>
      <c r="MMG32" s="672"/>
      <c r="MMH32" s="672"/>
      <c r="MMI32" s="672"/>
      <c r="MMJ32" s="672"/>
      <c r="MMK32" s="672"/>
      <c r="MML32" s="672"/>
      <c r="MMM32" s="672"/>
      <c r="MMN32" s="672"/>
      <c r="MMO32" s="672"/>
      <c r="MMP32" s="672"/>
      <c r="MMQ32" s="672"/>
      <c r="MMR32" s="672"/>
      <c r="MMS32" s="672"/>
      <c r="MMT32" s="672"/>
      <c r="MMU32" s="672"/>
      <c r="MMV32" s="672"/>
      <c r="MMW32" s="672"/>
      <c r="MMX32" s="672"/>
      <c r="MMY32" s="672"/>
      <c r="MMZ32" s="672"/>
      <c r="MNA32" s="672"/>
      <c r="MNB32" s="672"/>
      <c r="MNC32" s="672"/>
      <c r="MND32" s="672"/>
      <c r="MNE32" s="672"/>
      <c r="MNF32" s="672"/>
      <c r="MNG32" s="672"/>
      <c r="MNH32" s="672"/>
      <c r="MNI32" s="672"/>
      <c r="MNJ32" s="672"/>
      <c r="MNK32" s="672"/>
      <c r="MNL32" s="672"/>
      <c r="MNM32" s="672"/>
      <c r="MNN32" s="672"/>
      <c r="MNO32" s="672"/>
      <c r="MNP32" s="672"/>
      <c r="MNQ32" s="672"/>
      <c r="MNR32" s="672"/>
      <c r="MNS32" s="672"/>
      <c r="MNT32" s="672"/>
      <c r="MNU32" s="672"/>
      <c r="MNV32" s="672"/>
      <c r="MNW32" s="672"/>
      <c r="MNX32" s="672"/>
      <c r="MNY32" s="672"/>
      <c r="MNZ32" s="672"/>
      <c r="MOA32" s="672"/>
      <c r="MOB32" s="672"/>
      <c r="MOC32" s="672"/>
      <c r="MOD32" s="672"/>
      <c r="MOE32" s="672"/>
      <c r="MOF32" s="672"/>
      <c r="MOG32" s="672"/>
      <c r="MOH32" s="672"/>
      <c r="MOI32" s="672"/>
      <c r="MOJ32" s="672"/>
      <c r="MOK32" s="672"/>
      <c r="MOL32" s="672"/>
      <c r="MOM32" s="672"/>
      <c r="MON32" s="672"/>
      <c r="MOO32" s="672"/>
      <c r="MOP32" s="672"/>
      <c r="MOQ32" s="672"/>
      <c r="MOR32" s="672"/>
      <c r="MOS32" s="672"/>
      <c r="MOT32" s="672"/>
      <c r="MOU32" s="672"/>
      <c r="MOV32" s="672"/>
      <c r="MOW32" s="672"/>
      <c r="MOX32" s="672"/>
      <c r="MOY32" s="672"/>
      <c r="MOZ32" s="672"/>
      <c r="MPA32" s="672"/>
      <c r="MPB32" s="672"/>
      <c r="MPC32" s="672"/>
      <c r="MPD32" s="672"/>
      <c r="MPE32" s="672"/>
      <c r="MPF32" s="672"/>
      <c r="MPG32" s="672"/>
      <c r="MPH32" s="672"/>
      <c r="MPI32" s="672"/>
      <c r="MPJ32" s="672"/>
      <c r="MPK32" s="672"/>
      <c r="MPL32" s="672"/>
      <c r="MPM32" s="672"/>
      <c r="MPN32" s="672"/>
      <c r="MPO32" s="672"/>
      <c r="MPP32" s="672"/>
      <c r="MPQ32" s="672"/>
      <c r="MPR32" s="672"/>
      <c r="MPS32" s="672"/>
      <c r="MPT32" s="672"/>
      <c r="MPU32" s="672"/>
      <c r="MPV32" s="672"/>
      <c r="MPW32" s="672"/>
      <c r="MPX32" s="672"/>
      <c r="MPY32" s="672"/>
      <c r="MPZ32" s="672"/>
      <c r="MQA32" s="672"/>
      <c r="MQB32" s="672"/>
      <c r="MQC32" s="672"/>
      <c r="MQD32" s="672"/>
      <c r="MQE32" s="672"/>
      <c r="MQF32" s="672"/>
      <c r="MQG32" s="672"/>
      <c r="MQH32" s="672"/>
      <c r="MQI32" s="672"/>
      <c r="MQJ32" s="672"/>
      <c r="MQK32" s="672"/>
      <c r="MQL32" s="672"/>
      <c r="MQM32" s="672"/>
      <c r="MQN32" s="672"/>
      <c r="MQO32" s="672"/>
      <c r="MQP32" s="672"/>
      <c r="MQQ32" s="672"/>
      <c r="MQR32" s="672"/>
      <c r="MQS32" s="672"/>
      <c r="MQT32" s="672"/>
      <c r="MQU32" s="672"/>
      <c r="MQV32" s="672"/>
      <c r="MQW32" s="672"/>
      <c r="MQX32" s="672"/>
      <c r="MQY32" s="672"/>
      <c r="MQZ32" s="672"/>
      <c r="MRA32" s="672"/>
      <c r="MRB32" s="672"/>
      <c r="MRC32" s="672"/>
      <c r="MRD32" s="672"/>
      <c r="MRE32" s="672"/>
      <c r="MRF32" s="672"/>
      <c r="MRG32" s="672"/>
      <c r="MRH32" s="672"/>
      <c r="MRI32" s="672"/>
      <c r="MRJ32" s="672"/>
      <c r="MRK32" s="672"/>
      <c r="MRL32" s="672"/>
      <c r="MRM32" s="672"/>
      <c r="MRN32" s="672"/>
      <c r="MRO32" s="672"/>
      <c r="MRP32" s="672"/>
      <c r="MRQ32" s="672"/>
      <c r="MRR32" s="672"/>
      <c r="MRS32" s="672"/>
      <c r="MRT32" s="672"/>
      <c r="MRU32" s="672"/>
      <c r="MRV32" s="672"/>
      <c r="MRW32" s="672"/>
      <c r="MRX32" s="672"/>
      <c r="MRY32" s="672"/>
      <c r="MRZ32" s="672"/>
      <c r="MSA32" s="672"/>
      <c r="MSB32" s="672"/>
      <c r="MSC32" s="672"/>
      <c r="MSD32" s="672"/>
      <c r="MSE32" s="672"/>
      <c r="MSF32" s="672"/>
      <c r="MSG32" s="672"/>
      <c r="MSH32" s="672"/>
      <c r="MSI32" s="672"/>
      <c r="MSJ32" s="672"/>
      <c r="MSK32" s="672"/>
      <c r="MSL32" s="672"/>
      <c r="MSM32" s="672"/>
      <c r="MSN32" s="672"/>
      <c r="MSO32" s="672"/>
      <c r="MSP32" s="672"/>
      <c r="MSQ32" s="672"/>
      <c r="MSR32" s="672"/>
      <c r="MSS32" s="672"/>
      <c r="MST32" s="672"/>
      <c r="MSU32" s="672"/>
      <c r="MSV32" s="672"/>
      <c r="MSW32" s="672"/>
      <c r="MSX32" s="672"/>
      <c r="MSY32" s="672"/>
      <c r="MSZ32" s="672"/>
      <c r="MTA32" s="672"/>
      <c r="MTB32" s="672"/>
      <c r="MTC32" s="672"/>
      <c r="MTD32" s="672"/>
      <c r="MTE32" s="672"/>
      <c r="MTF32" s="672"/>
      <c r="MTG32" s="672"/>
      <c r="MTH32" s="672"/>
      <c r="MTI32" s="672"/>
      <c r="MTJ32" s="672"/>
      <c r="MTK32" s="672"/>
      <c r="MTL32" s="672"/>
      <c r="MTM32" s="672"/>
      <c r="MTN32" s="672"/>
      <c r="MTO32" s="672"/>
      <c r="MTP32" s="672"/>
      <c r="MTQ32" s="672"/>
      <c r="MTR32" s="672"/>
      <c r="MTS32" s="672"/>
      <c r="MTT32" s="672"/>
      <c r="MTU32" s="672"/>
      <c r="MTV32" s="672"/>
      <c r="MTW32" s="672"/>
      <c r="MTX32" s="672"/>
      <c r="MTY32" s="672"/>
      <c r="MTZ32" s="672"/>
      <c r="MUA32" s="672"/>
      <c r="MUB32" s="672"/>
      <c r="MUC32" s="672"/>
      <c r="MUD32" s="672"/>
      <c r="MUE32" s="672"/>
      <c r="MUF32" s="672"/>
      <c r="MUG32" s="672"/>
      <c r="MUH32" s="672"/>
      <c r="MUI32" s="672"/>
      <c r="MUJ32" s="672"/>
      <c r="MUK32" s="672"/>
      <c r="MUL32" s="672"/>
      <c r="MUM32" s="672"/>
      <c r="MUN32" s="672"/>
      <c r="MUO32" s="672"/>
      <c r="MUP32" s="672"/>
      <c r="MUQ32" s="672"/>
      <c r="MUR32" s="672"/>
      <c r="MUS32" s="672"/>
      <c r="MUT32" s="672"/>
      <c r="MUU32" s="672"/>
      <c r="MUV32" s="672"/>
      <c r="MUW32" s="672"/>
      <c r="MUX32" s="672"/>
      <c r="MUY32" s="672"/>
      <c r="MUZ32" s="672"/>
      <c r="MVA32" s="672"/>
      <c r="MVB32" s="672"/>
      <c r="MVC32" s="672"/>
      <c r="MVD32" s="672"/>
      <c r="MVE32" s="672"/>
      <c r="MVF32" s="672"/>
      <c r="MVG32" s="672"/>
      <c r="MVH32" s="672"/>
      <c r="MVI32" s="672"/>
      <c r="MVJ32" s="672"/>
      <c r="MVK32" s="672"/>
      <c r="MVL32" s="672"/>
      <c r="MVM32" s="672"/>
      <c r="MVN32" s="672"/>
      <c r="MVO32" s="672"/>
      <c r="MVP32" s="672"/>
      <c r="MVQ32" s="672"/>
      <c r="MVR32" s="672"/>
      <c r="MVS32" s="672"/>
      <c r="MVT32" s="672"/>
      <c r="MVU32" s="672"/>
      <c r="MVV32" s="672"/>
      <c r="MVW32" s="672"/>
      <c r="MVX32" s="672"/>
      <c r="MVY32" s="672"/>
      <c r="MVZ32" s="672"/>
      <c r="MWA32" s="672"/>
      <c r="MWB32" s="672"/>
      <c r="MWC32" s="672"/>
      <c r="MWD32" s="672"/>
      <c r="MWE32" s="672"/>
      <c r="MWF32" s="672"/>
      <c r="MWG32" s="672"/>
      <c r="MWH32" s="672"/>
      <c r="MWI32" s="672"/>
      <c r="MWJ32" s="672"/>
      <c r="MWK32" s="672"/>
      <c r="MWL32" s="672"/>
      <c r="MWM32" s="672"/>
      <c r="MWN32" s="672"/>
      <c r="MWO32" s="672"/>
      <c r="MWP32" s="672"/>
      <c r="MWQ32" s="672"/>
      <c r="MWR32" s="672"/>
      <c r="MWS32" s="672"/>
      <c r="MWT32" s="672"/>
      <c r="MWU32" s="672"/>
      <c r="MWV32" s="672"/>
      <c r="MWW32" s="672"/>
      <c r="MWX32" s="672"/>
      <c r="MWY32" s="672"/>
      <c r="MWZ32" s="672"/>
      <c r="MXA32" s="672"/>
      <c r="MXB32" s="672"/>
      <c r="MXC32" s="672"/>
      <c r="MXD32" s="672"/>
      <c r="MXE32" s="672"/>
      <c r="MXF32" s="672"/>
      <c r="MXG32" s="672"/>
      <c r="MXH32" s="672"/>
      <c r="MXI32" s="672"/>
      <c r="MXJ32" s="672"/>
      <c r="MXK32" s="672"/>
      <c r="MXL32" s="672"/>
      <c r="MXM32" s="672"/>
      <c r="MXN32" s="672"/>
      <c r="MXO32" s="672"/>
      <c r="MXP32" s="672"/>
      <c r="MXQ32" s="672"/>
      <c r="MXR32" s="672"/>
      <c r="MXS32" s="672"/>
      <c r="MXT32" s="672"/>
      <c r="MXU32" s="672"/>
      <c r="MXV32" s="672"/>
      <c r="MXW32" s="672"/>
      <c r="MXX32" s="672"/>
      <c r="MXY32" s="672"/>
      <c r="MXZ32" s="672"/>
      <c r="MYA32" s="672"/>
      <c r="MYB32" s="672"/>
      <c r="MYC32" s="672"/>
      <c r="MYD32" s="672"/>
      <c r="MYE32" s="672"/>
      <c r="MYF32" s="672"/>
      <c r="MYG32" s="672"/>
      <c r="MYH32" s="672"/>
      <c r="MYI32" s="672"/>
      <c r="MYJ32" s="672"/>
      <c r="MYK32" s="672"/>
      <c r="MYL32" s="672"/>
      <c r="MYM32" s="672"/>
      <c r="MYN32" s="672"/>
      <c r="MYO32" s="672"/>
      <c r="MYP32" s="672"/>
      <c r="MYQ32" s="672"/>
      <c r="MYR32" s="672"/>
      <c r="MYS32" s="672"/>
      <c r="MYT32" s="672"/>
      <c r="MYU32" s="672"/>
      <c r="MYV32" s="672"/>
      <c r="MYW32" s="672"/>
      <c r="MYX32" s="672"/>
      <c r="MYY32" s="672"/>
      <c r="MYZ32" s="672"/>
      <c r="MZA32" s="672"/>
      <c r="MZB32" s="672"/>
      <c r="MZC32" s="672"/>
      <c r="MZD32" s="672"/>
      <c r="MZE32" s="672"/>
      <c r="MZF32" s="672"/>
      <c r="MZG32" s="672"/>
      <c r="MZH32" s="672"/>
      <c r="MZI32" s="672"/>
      <c r="MZJ32" s="672"/>
      <c r="MZK32" s="672"/>
      <c r="MZL32" s="672"/>
      <c r="MZM32" s="672"/>
      <c r="MZN32" s="672"/>
      <c r="MZO32" s="672"/>
      <c r="MZP32" s="672"/>
      <c r="MZQ32" s="672"/>
      <c r="MZR32" s="672"/>
      <c r="MZS32" s="672"/>
      <c r="MZT32" s="672"/>
      <c r="MZU32" s="672"/>
      <c r="MZV32" s="672"/>
      <c r="MZW32" s="672"/>
      <c r="MZX32" s="672"/>
      <c r="MZY32" s="672"/>
      <c r="MZZ32" s="672"/>
      <c r="NAA32" s="672"/>
      <c r="NAB32" s="672"/>
      <c r="NAC32" s="672"/>
      <c r="NAD32" s="672"/>
      <c r="NAE32" s="672"/>
      <c r="NAF32" s="672"/>
      <c r="NAG32" s="672"/>
      <c r="NAH32" s="672"/>
      <c r="NAI32" s="672"/>
      <c r="NAJ32" s="672"/>
      <c r="NAK32" s="672"/>
      <c r="NAL32" s="672"/>
      <c r="NAM32" s="672"/>
      <c r="NAN32" s="672"/>
      <c r="NAO32" s="672"/>
      <c r="NAP32" s="672"/>
      <c r="NAQ32" s="672"/>
      <c r="NAR32" s="672"/>
      <c r="NAS32" s="672"/>
      <c r="NAT32" s="672"/>
      <c r="NAU32" s="672"/>
      <c r="NAV32" s="672"/>
      <c r="NAW32" s="672"/>
      <c r="NAX32" s="672"/>
      <c r="NAY32" s="672"/>
      <c r="NAZ32" s="672"/>
      <c r="NBA32" s="672"/>
      <c r="NBB32" s="672"/>
      <c r="NBC32" s="672"/>
      <c r="NBD32" s="672"/>
      <c r="NBE32" s="672"/>
      <c r="NBF32" s="672"/>
      <c r="NBG32" s="672"/>
      <c r="NBH32" s="672"/>
      <c r="NBI32" s="672"/>
      <c r="NBJ32" s="672"/>
      <c r="NBK32" s="672"/>
      <c r="NBL32" s="672"/>
      <c r="NBM32" s="672"/>
      <c r="NBN32" s="672"/>
      <c r="NBO32" s="672"/>
      <c r="NBP32" s="672"/>
      <c r="NBQ32" s="672"/>
      <c r="NBR32" s="672"/>
      <c r="NBS32" s="672"/>
      <c r="NBT32" s="672"/>
      <c r="NBU32" s="672"/>
      <c r="NBV32" s="672"/>
      <c r="NBW32" s="672"/>
      <c r="NBX32" s="672"/>
      <c r="NBY32" s="672"/>
      <c r="NBZ32" s="672"/>
      <c r="NCA32" s="672"/>
      <c r="NCB32" s="672"/>
      <c r="NCC32" s="672"/>
      <c r="NCD32" s="672"/>
      <c r="NCE32" s="672"/>
      <c r="NCF32" s="672"/>
      <c r="NCG32" s="672"/>
      <c r="NCH32" s="672"/>
      <c r="NCI32" s="672"/>
      <c r="NCJ32" s="672"/>
      <c r="NCK32" s="672"/>
      <c r="NCL32" s="672"/>
      <c r="NCM32" s="672"/>
      <c r="NCN32" s="672"/>
      <c r="NCO32" s="672"/>
      <c r="NCP32" s="672"/>
      <c r="NCQ32" s="672"/>
      <c r="NCR32" s="672"/>
      <c r="NCS32" s="672"/>
      <c r="NCT32" s="672"/>
      <c r="NCU32" s="672"/>
      <c r="NCV32" s="672"/>
      <c r="NCW32" s="672"/>
      <c r="NCX32" s="672"/>
      <c r="NCY32" s="672"/>
      <c r="NCZ32" s="672"/>
      <c r="NDA32" s="672"/>
      <c r="NDB32" s="672"/>
      <c r="NDC32" s="672"/>
      <c r="NDD32" s="672"/>
      <c r="NDE32" s="672"/>
      <c r="NDF32" s="672"/>
      <c r="NDG32" s="672"/>
      <c r="NDH32" s="672"/>
      <c r="NDI32" s="672"/>
      <c r="NDJ32" s="672"/>
      <c r="NDK32" s="672"/>
      <c r="NDL32" s="672"/>
      <c r="NDM32" s="672"/>
      <c r="NDN32" s="672"/>
      <c r="NDO32" s="672"/>
      <c r="NDP32" s="672"/>
      <c r="NDQ32" s="672"/>
      <c r="NDR32" s="672"/>
      <c r="NDS32" s="672"/>
      <c r="NDT32" s="672"/>
      <c r="NDU32" s="672"/>
      <c r="NDV32" s="672"/>
      <c r="NDW32" s="672"/>
      <c r="NDX32" s="672"/>
      <c r="NDY32" s="672"/>
      <c r="NDZ32" s="672"/>
      <c r="NEA32" s="672"/>
      <c r="NEB32" s="672"/>
      <c r="NEC32" s="672"/>
      <c r="NED32" s="672"/>
      <c r="NEE32" s="672"/>
      <c r="NEF32" s="672"/>
      <c r="NEG32" s="672"/>
      <c r="NEH32" s="672"/>
      <c r="NEI32" s="672"/>
      <c r="NEJ32" s="672"/>
      <c r="NEK32" s="672"/>
      <c r="NEL32" s="672"/>
      <c r="NEM32" s="672"/>
      <c r="NEN32" s="672"/>
      <c r="NEO32" s="672"/>
      <c r="NEP32" s="672"/>
      <c r="NEQ32" s="672"/>
      <c r="NER32" s="672"/>
      <c r="NES32" s="672"/>
      <c r="NET32" s="672"/>
      <c r="NEU32" s="672"/>
      <c r="NEV32" s="672"/>
      <c r="NEW32" s="672"/>
      <c r="NEX32" s="672"/>
      <c r="NEY32" s="672"/>
      <c r="NEZ32" s="672"/>
      <c r="NFA32" s="672"/>
      <c r="NFB32" s="672"/>
      <c r="NFC32" s="672"/>
      <c r="NFD32" s="672"/>
      <c r="NFE32" s="672"/>
      <c r="NFF32" s="672"/>
      <c r="NFG32" s="672"/>
      <c r="NFH32" s="672"/>
      <c r="NFI32" s="672"/>
      <c r="NFJ32" s="672"/>
      <c r="NFK32" s="672"/>
      <c r="NFL32" s="672"/>
      <c r="NFM32" s="672"/>
      <c r="NFN32" s="672"/>
      <c r="NFO32" s="672"/>
      <c r="NFP32" s="672"/>
      <c r="NFQ32" s="672"/>
      <c r="NFR32" s="672"/>
      <c r="NFS32" s="672"/>
      <c r="NFT32" s="672"/>
      <c r="NFU32" s="672"/>
      <c r="NFV32" s="672"/>
      <c r="NFW32" s="672"/>
      <c r="NFX32" s="672"/>
      <c r="NFY32" s="672"/>
      <c r="NFZ32" s="672"/>
      <c r="NGA32" s="672"/>
      <c r="NGB32" s="672"/>
      <c r="NGC32" s="672"/>
      <c r="NGD32" s="672"/>
      <c r="NGE32" s="672"/>
      <c r="NGF32" s="672"/>
      <c r="NGG32" s="672"/>
      <c r="NGH32" s="672"/>
      <c r="NGI32" s="672"/>
      <c r="NGJ32" s="672"/>
      <c r="NGK32" s="672"/>
      <c r="NGL32" s="672"/>
      <c r="NGM32" s="672"/>
      <c r="NGN32" s="672"/>
      <c r="NGO32" s="672"/>
      <c r="NGP32" s="672"/>
      <c r="NGQ32" s="672"/>
      <c r="NGR32" s="672"/>
      <c r="NGS32" s="672"/>
      <c r="NGT32" s="672"/>
      <c r="NGU32" s="672"/>
      <c r="NGV32" s="672"/>
      <c r="NGW32" s="672"/>
      <c r="NGX32" s="672"/>
      <c r="NGY32" s="672"/>
      <c r="NGZ32" s="672"/>
      <c r="NHA32" s="672"/>
      <c r="NHB32" s="672"/>
      <c r="NHC32" s="672"/>
      <c r="NHD32" s="672"/>
      <c r="NHE32" s="672"/>
      <c r="NHF32" s="672"/>
      <c r="NHG32" s="672"/>
      <c r="NHH32" s="672"/>
      <c r="NHI32" s="672"/>
      <c r="NHJ32" s="672"/>
      <c r="NHK32" s="672"/>
      <c r="NHL32" s="672"/>
      <c r="NHM32" s="672"/>
      <c r="NHN32" s="672"/>
      <c r="NHO32" s="672"/>
      <c r="NHP32" s="672"/>
      <c r="NHQ32" s="672"/>
      <c r="NHR32" s="672"/>
      <c r="NHS32" s="672"/>
      <c r="NHT32" s="672"/>
      <c r="NHU32" s="672"/>
      <c r="NHV32" s="672"/>
      <c r="NHW32" s="672"/>
      <c r="NHX32" s="672"/>
      <c r="NHY32" s="672"/>
      <c r="NHZ32" s="672"/>
      <c r="NIA32" s="672"/>
      <c r="NIB32" s="672"/>
      <c r="NIC32" s="672"/>
      <c r="NID32" s="672"/>
      <c r="NIE32" s="672"/>
      <c r="NIF32" s="672"/>
      <c r="NIG32" s="672"/>
      <c r="NIH32" s="672"/>
      <c r="NII32" s="672"/>
      <c r="NIJ32" s="672"/>
      <c r="NIK32" s="672"/>
      <c r="NIL32" s="672"/>
      <c r="NIM32" s="672"/>
      <c r="NIN32" s="672"/>
      <c r="NIO32" s="672"/>
      <c r="NIP32" s="672"/>
      <c r="NIQ32" s="672"/>
      <c r="NIR32" s="672"/>
      <c r="NIS32" s="672"/>
      <c r="NIT32" s="672"/>
      <c r="NIU32" s="672"/>
      <c r="NIV32" s="672"/>
      <c r="NIW32" s="672"/>
      <c r="NIX32" s="672"/>
      <c r="NIY32" s="672"/>
      <c r="NIZ32" s="672"/>
      <c r="NJA32" s="672"/>
      <c r="NJB32" s="672"/>
      <c r="NJC32" s="672"/>
      <c r="NJD32" s="672"/>
      <c r="NJE32" s="672"/>
      <c r="NJF32" s="672"/>
      <c r="NJG32" s="672"/>
      <c r="NJH32" s="672"/>
      <c r="NJI32" s="672"/>
      <c r="NJJ32" s="672"/>
      <c r="NJK32" s="672"/>
      <c r="NJL32" s="672"/>
      <c r="NJM32" s="672"/>
      <c r="NJN32" s="672"/>
      <c r="NJO32" s="672"/>
      <c r="NJP32" s="672"/>
      <c r="NJQ32" s="672"/>
      <c r="NJR32" s="672"/>
      <c r="NJS32" s="672"/>
      <c r="NJT32" s="672"/>
      <c r="NJU32" s="672"/>
      <c r="NJV32" s="672"/>
      <c r="NJW32" s="672"/>
      <c r="NJX32" s="672"/>
      <c r="NJY32" s="672"/>
      <c r="NJZ32" s="672"/>
      <c r="NKA32" s="672"/>
      <c r="NKB32" s="672"/>
      <c r="NKC32" s="672"/>
      <c r="NKD32" s="672"/>
      <c r="NKE32" s="672"/>
      <c r="NKF32" s="672"/>
      <c r="NKG32" s="672"/>
      <c r="NKH32" s="672"/>
      <c r="NKI32" s="672"/>
      <c r="NKJ32" s="672"/>
      <c r="NKK32" s="672"/>
      <c r="NKL32" s="672"/>
      <c r="NKM32" s="672"/>
      <c r="NKN32" s="672"/>
      <c r="NKO32" s="672"/>
      <c r="NKP32" s="672"/>
      <c r="NKQ32" s="672"/>
      <c r="NKR32" s="672"/>
      <c r="NKS32" s="672"/>
      <c r="NKT32" s="672"/>
      <c r="NKU32" s="672"/>
      <c r="NKV32" s="672"/>
      <c r="NKW32" s="672"/>
      <c r="NKX32" s="672"/>
      <c r="NKY32" s="672"/>
      <c r="NKZ32" s="672"/>
      <c r="NLA32" s="672"/>
      <c r="NLB32" s="672"/>
      <c r="NLC32" s="672"/>
      <c r="NLD32" s="672"/>
      <c r="NLE32" s="672"/>
      <c r="NLF32" s="672"/>
      <c r="NLG32" s="672"/>
      <c r="NLH32" s="672"/>
      <c r="NLI32" s="672"/>
      <c r="NLJ32" s="672"/>
      <c r="NLK32" s="672"/>
      <c r="NLL32" s="672"/>
      <c r="NLM32" s="672"/>
      <c r="NLN32" s="672"/>
      <c r="NLO32" s="672"/>
      <c r="NLP32" s="672"/>
      <c r="NLQ32" s="672"/>
      <c r="NLR32" s="672"/>
      <c r="NLS32" s="672"/>
      <c r="NLT32" s="672"/>
      <c r="NLU32" s="672"/>
      <c r="NLV32" s="672"/>
      <c r="NLW32" s="672"/>
      <c r="NLX32" s="672"/>
      <c r="NLY32" s="672"/>
      <c r="NLZ32" s="672"/>
      <c r="NMA32" s="672"/>
      <c r="NMB32" s="672"/>
      <c r="NMC32" s="672"/>
      <c r="NMD32" s="672"/>
      <c r="NME32" s="672"/>
      <c r="NMF32" s="672"/>
      <c r="NMG32" s="672"/>
      <c r="NMH32" s="672"/>
      <c r="NMI32" s="672"/>
      <c r="NMJ32" s="672"/>
      <c r="NMK32" s="672"/>
      <c r="NML32" s="672"/>
      <c r="NMM32" s="672"/>
      <c r="NMN32" s="672"/>
      <c r="NMO32" s="672"/>
      <c r="NMP32" s="672"/>
      <c r="NMQ32" s="672"/>
      <c r="NMR32" s="672"/>
      <c r="NMS32" s="672"/>
      <c r="NMT32" s="672"/>
      <c r="NMU32" s="672"/>
      <c r="NMV32" s="672"/>
      <c r="NMW32" s="672"/>
      <c r="NMX32" s="672"/>
      <c r="NMY32" s="672"/>
      <c r="NMZ32" s="672"/>
      <c r="NNA32" s="672"/>
      <c r="NNB32" s="672"/>
      <c r="NNC32" s="672"/>
      <c r="NND32" s="672"/>
      <c r="NNE32" s="672"/>
      <c r="NNF32" s="672"/>
      <c r="NNG32" s="672"/>
      <c r="NNH32" s="672"/>
      <c r="NNI32" s="672"/>
      <c r="NNJ32" s="672"/>
      <c r="NNK32" s="672"/>
      <c r="NNL32" s="672"/>
      <c r="NNM32" s="672"/>
      <c r="NNN32" s="672"/>
      <c r="NNO32" s="672"/>
      <c r="NNP32" s="672"/>
      <c r="NNQ32" s="672"/>
      <c r="NNR32" s="672"/>
      <c r="NNS32" s="672"/>
      <c r="NNT32" s="672"/>
      <c r="NNU32" s="672"/>
      <c r="NNV32" s="672"/>
      <c r="NNW32" s="672"/>
      <c r="NNX32" s="672"/>
      <c r="NNY32" s="672"/>
      <c r="NNZ32" s="672"/>
      <c r="NOA32" s="672"/>
      <c r="NOB32" s="672"/>
      <c r="NOC32" s="672"/>
      <c r="NOD32" s="672"/>
      <c r="NOE32" s="672"/>
      <c r="NOF32" s="672"/>
      <c r="NOG32" s="672"/>
      <c r="NOH32" s="672"/>
      <c r="NOI32" s="672"/>
      <c r="NOJ32" s="672"/>
      <c r="NOK32" s="672"/>
      <c r="NOL32" s="672"/>
      <c r="NOM32" s="672"/>
      <c r="NON32" s="672"/>
      <c r="NOO32" s="672"/>
      <c r="NOP32" s="672"/>
      <c r="NOQ32" s="672"/>
      <c r="NOR32" s="672"/>
      <c r="NOS32" s="672"/>
      <c r="NOT32" s="672"/>
      <c r="NOU32" s="672"/>
      <c r="NOV32" s="672"/>
      <c r="NOW32" s="672"/>
      <c r="NOX32" s="672"/>
      <c r="NOY32" s="672"/>
      <c r="NOZ32" s="672"/>
      <c r="NPA32" s="672"/>
      <c r="NPB32" s="672"/>
      <c r="NPC32" s="672"/>
      <c r="NPD32" s="672"/>
      <c r="NPE32" s="672"/>
      <c r="NPF32" s="672"/>
      <c r="NPG32" s="672"/>
      <c r="NPH32" s="672"/>
      <c r="NPI32" s="672"/>
      <c r="NPJ32" s="672"/>
      <c r="NPK32" s="672"/>
      <c r="NPL32" s="672"/>
      <c r="NPM32" s="672"/>
      <c r="NPN32" s="672"/>
      <c r="NPO32" s="672"/>
      <c r="NPP32" s="672"/>
      <c r="NPQ32" s="672"/>
      <c r="NPR32" s="672"/>
      <c r="NPS32" s="672"/>
      <c r="NPT32" s="672"/>
      <c r="NPU32" s="672"/>
      <c r="NPV32" s="672"/>
      <c r="NPW32" s="672"/>
      <c r="NPX32" s="672"/>
      <c r="NPY32" s="672"/>
      <c r="NPZ32" s="672"/>
      <c r="NQA32" s="672"/>
      <c r="NQB32" s="672"/>
      <c r="NQC32" s="672"/>
      <c r="NQD32" s="672"/>
      <c r="NQE32" s="672"/>
      <c r="NQF32" s="672"/>
      <c r="NQG32" s="672"/>
      <c r="NQH32" s="672"/>
      <c r="NQI32" s="672"/>
      <c r="NQJ32" s="672"/>
      <c r="NQK32" s="672"/>
      <c r="NQL32" s="672"/>
      <c r="NQM32" s="672"/>
      <c r="NQN32" s="672"/>
      <c r="NQO32" s="672"/>
      <c r="NQP32" s="672"/>
      <c r="NQQ32" s="672"/>
      <c r="NQR32" s="672"/>
      <c r="NQS32" s="672"/>
      <c r="NQT32" s="672"/>
      <c r="NQU32" s="672"/>
      <c r="NQV32" s="672"/>
      <c r="NQW32" s="672"/>
      <c r="NQX32" s="672"/>
      <c r="NQY32" s="672"/>
      <c r="NQZ32" s="672"/>
      <c r="NRA32" s="672"/>
      <c r="NRB32" s="672"/>
      <c r="NRC32" s="672"/>
      <c r="NRD32" s="672"/>
      <c r="NRE32" s="672"/>
      <c r="NRF32" s="672"/>
      <c r="NRG32" s="672"/>
      <c r="NRH32" s="672"/>
      <c r="NRI32" s="672"/>
      <c r="NRJ32" s="672"/>
      <c r="NRK32" s="672"/>
      <c r="NRL32" s="672"/>
      <c r="NRM32" s="672"/>
      <c r="NRN32" s="672"/>
      <c r="NRO32" s="672"/>
      <c r="NRP32" s="672"/>
      <c r="NRQ32" s="672"/>
      <c r="NRR32" s="672"/>
      <c r="NRS32" s="672"/>
      <c r="NRT32" s="672"/>
      <c r="NRU32" s="672"/>
      <c r="NRV32" s="672"/>
      <c r="NRW32" s="672"/>
      <c r="NRX32" s="672"/>
      <c r="NRY32" s="672"/>
      <c r="NRZ32" s="672"/>
      <c r="NSA32" s="672"/>
      <c r="NSB32" s="672"/>
      <c r="NSC32" s="672"/>
      <c r="NSD32" s="672"/>
      <c r="NSE32" s="672"/>
      <c r="NSF32" s="672"/>
      <c r="NSG32" s="672"/>
      <c r="NSH32" s="672"/>
      <c r="NSI32" s="672"/>
      <c r="NSJ32" s="672"/>
      <c r="NSK32" s="672"/>
      <c r="NSL32" s="672"/>
      <c r="NSM32" s="672"/>
      <c r="NSN32" s="672"/>
      <c r="NSO32" s="672"/>
      <c r="NSP32" s="672"/>
      <c r="NSQ32" s="672"/>
      <c r="NSR32" s="672"/>
      <c r="NSS32" s="672"/>
      <c r="NST32" s="672"/>
      <c r="NSU32" s="672"/>
      <c r="NSV32" s="672"/>
      <c r="NSW32" s="672"/>
      <c r="NSX32" s="672"/>
      <c r="NSY32" s="672"/>
      <c r="NSZ32" s="672"/>
      <c r="NTA32" s="672"/>
      <c r="NTB32" s="672"/>
      <c r="NTC32" s="672"/>
      <c r="NTD32" s="672"/>
      <c r="NTE32" s="672"/>
      <c r="NTF32" s="672"/>
      <c r="NTG32" s="672"/>
      <c r="NTH32" s="672"/>
      <c r="NTI32" s="672"/>
      <c r="NTJ32" s="672"/>
      <c r="NTK32" s="672"/>
      <c r="NTL32" s="672"/>
      <c r="NTM32" s="672"/>
      <c r="NTN32" s="672"/>
      <c r="NTO32" s="672"/>
      <c r="NTP32" s="672"/>
      <c r="NTQ32" s="672"/>
      <c r="NTR32" s="672"/>
      <c r="NTS32" s="672"/>
      <c r="NTT32" s="672"/>
      <c r="NTU32" s="672"/>
      <c r="NTV32" s="672"/>
      <c r="NTW32" s="672"/>
      <c r="NTX32" s="672"/>
      <c r="NTY32" s="672"/>
      <c r="NTZ32" s="672"/>
      <c r="NUA32" s="672"/>
      <c r="NUB32" s="672"/>
      <c r="NUC32" s="672"/>
      <c r="NUD32" s="672"/>
      <c r="NUE32" s="672"/>
      <c r="NUF32" s="672"/>
      <c r="NUG32" s="672"/>
      <c r="NUH32" s="672"/>
      <c r="NUI32" s="672"/>
      <c r="NUJ32" s="672"/>
      <c r="NUK32" s="672"/>
      <c r="NUL32" s="672"/>
      <c r="NUM32" s="672"/>
      <c r="NUN32" s="672"/>
      <c r="NUO32" s="672"/>
      <c r="NUP32" s="672"/>
      <c r="NUQ32" s="672"/>
      <c r="NUR32" s="672"/>
      <c r="NUS32" s="672"/>
      <c r="NUT32" s="672"/>
      <c r="NUU32" s="672"/>
      <c r="NUV32" s="672"/>
      <c r="NUW32" s="672"/>
      <c r="NUX32" s="672"/>
      <c r="NUY32" s="672"/>
      <c r="NUZ32" s="672"/>
      <c r="NVA32" s="672"/>
      <c r="NVB32" s="672"/>
      <c r="NVC32" s="672"/>
      <c r="NVD32" s="672"/>
      <c r="NVE32" s="672"/>
      <c r="NVF32" s="672"/>
      <c r="NVG32" s="672"/>
      <c r="NVH32" s="672"/>
      <c r="NVI32" s="672"/>
      <c r="NVJ32" s="672"/>
      <c r="NVK32" s="672"/>
      <c r="NVL32" s="672"/>
      <c r="NVM32" s="672"/>
      <c r="NVN32" s="672"/>
      <c r="NVO32" s="672"/>
      <c r="NVP32" s="672"/>
      <c r="NVQ32" s="672"/>
      <c r="NVR32" s="672"/>
      <c r="NVS32" s="672"/>
      <c r="NVT32" s="672"/>
      <c r="NVU32" s="672"/>
      <c r="NVV32" s="672"/>
      <c r="NVW32" s="672"/>
      <c r="NVX32" s="672"/>
      <c r="NVY32" s="672"/>
      <c r="NVZ32" s="672"/>
      <c r="NWA32" s="672"/>
      <c r="NWB32" s="672"/>
      <c r="NWC32" s="672"/>
      <c r="NWD32" s="672"/>
      <c r="NWE32" s="672"/>
      <c r="NWF32" s="672"/>
      <c r="NWG32" s="672"/>
      <c r="NWH32" s="672"/>
      <c r="NWI32" s="672"/>
      <c r="NWJ32" s="672"/>
      <c r="NWK32" s="672"/>
      <c r="NWL32" s="672"/>
      <c r="NWM32" s="672"/>
      <c r="NWN32" s="672"/>
      <c r="NWO32" s="672"/>
      <c r="NWP32" s="672"/>
      <c r="NWQ32" s="672"/>
      <c r="NWR32" s="672"/>
      <c r="NWS32" s="672"/>
      <c r="NWT32" s="672"/>
      <c r="NWU32" s="672"/>
      <c r="NWV32" s="672"/>
      <c r="NWW32" s="672"/>
      <c r="NWX32" s="672"/>
      <c r="NWY32" s="672"/>
      <c r="NWZ32" s="672"/>
      <c r="NXA32" s="672"/>
      <c r="NXB32" s="672"/>
      <c r="NXC32" s="672"/>
      <c r="NXD32" s="672"/>
      <c r="NXE32" s="672"/>
      <c r="NXF32" s="672"/>
      <c r="NXG32" s="672"/>
      <c r="NXH32" s="672"/>
      <c r="NXI32" s="672"/>
      <c r="NXJ32" s="672"/>
      <c r="NXK32" s="672"/>
      <c r="NXL32" s="672"/>
      <c r="NXM32" s="672"/>
      <c r="NXN32" s="672"/>
      <c r="NXO32" s="672"/>
      <c r="NXP32" s="672"/>
      <c r="NXQ32" s="672"/>
      <c r="NXR32" s="672"/>
      <c r="NXS32" s="672"/>
      <c r="NXT32" s="672"/>
      <c r="NXU32" s="672"/>
      <c r="NXV32" s="672"/>
      <c r="NXW32" s="672"/>
      <c r="NXX32" s="672"/>
      <c r="NXY32" s="672"/>
      <c r="NXZ32" s="672"/>
      <c r="NYA32" s="672"/>
      <c r="NYB32" s="672"/>
      <c r="NYC32" s="672"/>
      <c r="NYD32" s="672"/>
      <c r="NYE32" s="672"/>
      <c r="NYF32" s="672"/>
      <c r="NYG32" s="672"/>
      <c r="NYH32" s="672"/>
      <c r="NYI32" s="672"/>
      <c r="NYJ32" s="672"/>
      <c r="NYK32" s="672"/>
      <c r="NYL32" s="672"/>
      <c r="NYM32" s="672"/>
      <c r="NYN32" s="672"/>
      <c r="NYO32" s="672"/>
      <c r="NYP32" s="672"/>
      <c r="NYQ32" s="672"/>
      <c r="NYR32" s="672"/>
      <c r="NYS32" s="672"/>
      <c r="NYT32" s="672"/>
      <c r="NYU32" s="672"/>
      <c r="NYV32" s="672"/>
      <c r="NYW32" s="672"/>
      <c r="NYX32" s="672"/>
      <c r="NYY32" s="672"/>
      <c r="NYZ32" s="672"/>
      <c r="NZA32" s="672"/>
      <c r="NZB32" s="672"/>
      <c r="NZC32" s="672"/>
      <c r="NZD32" s="672"/>
      <c r="NZE32" s="672"/>
      <c r="NZF32" s="672"/>
      <c r="NZG32" s="672"/>
      <c r="NZH32" s="672"/>
      <c r="NZI32" s="672"/>
      <c r="NZJ32" s="672"/>
      <c r="NZK32" s="672"/>
      <c r="NZL32" s="672"/>
      <c r="NZM32" s="672"/>
      <c r="NZN32" s="672"/>
      <c r="NZO32" s="672"/>
      <c r="NZP32" s="672"/>
      <c r="NZQ32" s="672"/>
      <c r="NZR32" s="672"/>
      <c r="NZS32" s="672"/>
      <c r="NZT32" s="672"/>
      <c r="NZU32" s="672"/>
      <c r="NZV32" s="672"/>
      <c r="NZW32" s="672"/>
      <c r="NZX32" s="672"/>
      <c r="NZY32" s="672"/>
      <c r="NZZ32" s="672"/>
      <c r="OAA32" s="672"/>
      <c r="OAB32" s="672"/>
      <c r="OAC32" s="672"/>
      <c r="OAD32" s="672"/>
      <c r="OAE32" s="672"/>
      <c r="OAF32" s="672"/>
      <c r="OAG32" s="672"/>
      <c r="OAH32" s="672"/>
      <c r="OAI32" s="672"/>
      <c r="OAJ32" s="672"/>
      <c r="OAK32" s="672"/>
      <c r="OAL32" s="672"/>
      <c r="OAM32" s="672"/>
      <c r="OAN32" s="672"/>
      <c r="OAO32" s="672"/>
      <c r="OAP32" s="672"/>
      <c r="OAQ32" s="672"/>
      <c r="OAR32" s="672"/>
      <c r="OAS32" s="672"/>
      <c r="OAT32" s="672"/>
      <c r="OAU32" s="672"/>
      <c r="OAV32" s="672"/>
      <c r="OAW32" s="672"/>
      <c r="OAX32" s="672"/>
      <c r="OAY32" s="672"/>
      <c r="OAZ32" s="672"/>
      <c r="OBA32" s="672"/>
      <c r="OBB32" s="672"/>
      <c r="OBC32" s="672"/>
      <c r="OBD32" s="672"/>
      <c r="OBE32" s="672"/>
      <c r="OBF32" s="672"/>
      <c r="OBG32" s="672"/>
      <c r="OBH32" s="672"/>
      <c r="OBI32" s="672"/>
      <c r="OBJ32" s="672"/>
      <c r="OBK32" s="672"/>
      <c r="OBL32" s="672"/>
      <c r="OBM32" s="672"/>
      <c r="OBN32" s="672"/>
      <c r="OBO32" s="672"/>
      <c r="OBP32" s="672"/>
      <c r="OBQ32" s="672"/>
      <c r="OBR32" s="672"/>
      <c r="OBS32" s="672"/>
      <c r="OBT32" s="672"/>
      <c r="OBU32" s="672"/>
      <c r="OBV32" s="672"/>
      <c r="OBW32" s="672"/>
      <c r="OBX32" s="672"/>
      <c r="OBY32" s="672"/>
      <c r="OBZ32" s="672"/>
      <c r="OCA32" s="672"/>
      <c r="OCB32" s="672"/>
      <c r="OCC32" s="672"/>
      <c r="OCD32" s="672"/>
      <c r="OCE32" s="672"/>
      <c r="OCF32" s="672"/>
      <c r="OCG32" s="672"/>
      <c r="OCH32" s="672"/>
      <c r="OCI32" s="672"/>
      <c r="OCJ32" s="672"/>
      <c r="OCK32" s="672"/>
      <c r="OCL32" s="672"/>
      <c r="OCM32" s="672"/>
      <c r="OCN32" s="672"/>
      <c r="OCO32" s="672"/>
      <c r="OCP32" s="672"/>
      <c r="OCQ32" s="672"/>
      <c r="OCR32" s="672"/>
      <c r="OCS32" s="672"/>
      <c r="OCT32" s="672"/>
      <c r="OCU32" s="672"/>
      <c r="OCV32" s="672"/>
      <c r="OCW32" s="672"/>
      <c r="OCX32" s="672"/>
      <c r="OCY32" s="672"/>
      <c r="OCZ32" s="672"/>
      <c r="ODA32" s="672"/>
      <c r="ODB32" s="672"/>
      <c r="ODC32" s="672"/>
      <c r="ODD32" s="672"/>
      <c r="ODE32" s="672"/>
      <c r="ODF32" s="672"/>
      <c r="ODG32" s="672"/>
      <c r="ODH32" s="672"/>
      <c r="ODI32" s="672"/>
      <c r="ODJ32" s="672"/>
      <c r="ODK32" s="672"/>
      <c r="ODL32" s="672"/>
      <c r="ODM32" s="672"/>
      <c r="ODN32" s="672"/>
      <c r="ODO32" s="672"/>
      <c r="ODP32" s="672"/>
      <c r="ODQ32" s="672"/>
      <c r="ODR32" s="672"/>
      <c r="ODS32" s="672"/>
      <c r="ODT32" s="672"/>
      <c r="ODU32" s="672"/>
      <c r="ODV32" s="672"/>
      <c r="ODW32" s="672"/>
      <c r="ODX32" s="672"/>
      <c r="ODY32" s="672"/>
      <c r="ODZ32" s="672"/>
      <c r="OEA32" s="672"/>
      <c r="OEB32" s="672"/>
      <c r="OEC32" s="672"/>
      <c r="OED32" s="672"/>
      <c r="OEE32" s="672"/>
      <c r="OEF32" s="672"/>
      <c r="OEG32" s="672"/>
      <c r="OEH32" s="672"/>
      <c r="OEI32" s="672"/>
      <c r="OEJ32" s="672"/>
      <c r="OEK32" s="672"/>
      <c r="OEL32" s="672"/>
      <c r="OEM32" s="672"/>
      <c r="OEN32" s="672"/>
      <c r="OEO32" s="672"/>
      <c r="OEP32" s="672"/>
      <c r="OEQ32" s="672"/>
      <c r="OER32" s="672"/>
      <c r="OES32" s="672"/>
      <c r="OET32" s="672"/>
      <c r="OEU32" s="672"/>
      <c r="OEV32" s="672"/>
      <c r="OEW32" s="672"/>
      <c r="OEX32" s="672"/>
      <c r="OEY32" s="672"/>
      <c r="OEZ32" s="672"/>
      <c r="OFA32" s="672"/>
      <c r="OFB32" s="672"/>
      <c r="OFC32" s="672"/>
      <c r="OFD32" s="672"/>
      <c r="OFE32" s="672"/>
      <c r="OFF32" s="672"/>
      <c r="OFG32" s="672"/>
      <c r="OFH32" s="672"/>
      <c r="OFI32" s="672"/>
      <c r="OFJ32" s="672"/>
      <c r="OFK32" s="672"/>
      <c r="OFL32" s="672"/>
      <c r="OFM32" s="672"/>
      <c r="OFN32" s="672"/>
      <c r="OFO32" s="672"/>
      <c r="OFP32" s="672"/>
      <c r="OFQ32" s="672"/>
      <c r="OFR32" s="672"/>
      <c r="OFS32" s="672"/>
      <c r="OFT32" s="672"/>
      <c r="OFU32" s="672"/>
      <c r="OFV32" s="672"/>
      <c r="OFW32" s="672"/>
      <c r="OFX32" s="672"/>
      <c r="OFY32" s="672"/>
      <c r="OFZ32" s="672"/>
      <c r="OGA32" s="672"/>
      <c r="OGB32" s="672"/>
      <c r="OGC32" s="672"/>
      <c r="OGD32" s="672"/>
      <c r="OGE32" s="672"/>
      <c r="OGF32" s="672"/>
      <c r="OGG32" s="672"/>
      <c r="OGH32" s="672"/>
      <c r="OGI32" s="672"/>
      <c r="OGJ32" s="672"/>
      <c r="OGK32" s="672"/>
      <c r="OGL32" s="672"/>
      <c r="OGM32" s="672"/>
      <c r="OGN32" s="672"/>
      <c r="OGO32" s="672"/>
      <c r="OGP32" s="672"/>
      <c r="OGQ32" s="672"/>
      <c r="OGR32" s="672"/>
      <c r="OGS32" s="672"/>
      <c r="OGT32" s="672"/>
      <c r="OGU32" s="672"/>
      <c r="OGV32" s="672"/>
      <c r="OGW32" s="672"/>
      <c r="OGX32" s="672"/>
      <c r="OGY32" s="672"/>
      <c r="OGZ32" s="672"/>
      <c r="OHA32" s="672"/>
      <c r="OHB32" s="672"/>
      <c r="OHC32" s="672"/>
      <c r="OHD32" s="672"/>
      <c r="OHE32" s="672"/>
      <c r="OHF32" s="672"/>
      <c r="OHG32" s="672"/>
      <c r="OHH32" s="672"/>
      <c r="OHI32" s="672"/>
      <c r="OHJ32" s="672"/>
      <c r="OHK32" s="672"/>
      <c r="OHL32" s="672"/>
      <c r="OHM32" s="672"/>
      <c r="OHN32" s="672"/>
      <c r="OHO32" s="672"/>
      <c r="OHP32" s="672"/>
      <c r="OHQ32" s="672"/>
      <c r="OHR32" s="672"/>
      <c r="OHS32" s="672"/>
      <c r="OHT32" s="672"/>
      <c r="OHU32" s="672"/>
      <c r="OHV32" s="672"/>
      <c r="OHW32" s="672"/>
      <c r="OHX32" s="672"/>
      <c r="OHY32" s="672"/>
      <c r="OHZ32" s="672"/>
      <c r="OIA32" s="672"/>
      <c r="OIB32" s="672"/>
      <c r="OIC32" s="672"/>
      <c r="OID32" s="672"/>
      <c r="OIE32" s="672"/>
      <c r="OIF32" s="672"/>
      <c r="OIG32" s="672"/>
      <c r="OIH32" s="672"/>
      <c r="OII32" s="672"/>
      <c r="OIJ32" s="672"/>
      <c r="OIK32" s="672"/>
      <c r="OIL32" s="672"/>
      <c r="OIM32" s="672"/>
      <c r="OIN32" s="672"/>
      <c r="OIO32" s="672"/>
      <c r="OIP32" s="672"/>
      <c r="OIQ32" s="672"/>
      <c r="OIR32" s="672"/>
      <c r="OIS32" s="672"/>
      <c r="OIT32" s="672"/>
      <c r="OIU32" s="672"/>
      <c r="OIV32" s="672"/>
      <c r="OIW32" s="672"/>
      <c r="OIX32" s="672"/>
      <c r="OIY32" s="672"/>
      <c r="OIZ32" s="672"/>
      <c r="OJA32" s="672"/>
      <c r="OJB32" s="672"/>
      <c r="OJC32" s="672"/>
      <c r="OJD32" s="672"/>
      <c r="OJE32" s="672"/>
      <c r="OJF32" s="672"/>
      <c r="OJG32" s="672"/>
      <c r="OJH32" s="672"/>
      <c r="OJI32" s="672"/>
      <c r="OJJ32" s="672"/>
      <c r="OJK32" s="672"/>
      <c r="OJL32" s="672"/>
      <c r="OJM32" s="672"/>
      <c r="OJN32" s="672"/>
      <c r="OJO32" s="672"/>
      <c r="OJP32" s="672"/>
      <c r="OJQ32" s="672"/>
      <c r="OJR32" s="672"/>
      <c r="OJS32" s="672"/>
      <c r="OJT32" s="672"/>
      <c r="OJU32" s="672"/>
      <c r="OJV32" s="672"/>
      <c r="OJW32" s="672"/>
      <c r="OJX32" s="672"/>
      <c r="OJY32" s="672"/>
      <c r="OJZ32" s="672"/>
      <c r="OKA32" s="672"/>
      <c r="OKB32" s="672"/>
      <c r="OKC32" s="672"/>
      <c r="OKD32" s="672"/>
      <c r="OKE32" s="672"/>
      <c r="OKF32" s="672"/>
      <c r="OKG32" s="672"/>
      <c r="OKH32" s="672"/>
      <c r="OKI32" s="672"/>
      <c r="OKJ32" s="672"/>
      <c r="OKK32" s="672"/>
      <c r="OKL32" s="672"/>
      <c r="OKM32" s="672"/>
      <c r="OKN32" s="672"/>
      <c r="OKO32" s="672"/>
      <c r="OKP32" s="672"/>
      <c r="OKQ32" s="672"/>
      <c r="OKR32" s="672"/>
      <c r="OKS32" s="672"/>
      <c r="OKT32" s="672"/>
      <c r="OKU32" s="672"/>
      <c r="OKV32" s="672"/>
      <c r="OKW32" s="672"/>
      <c r="OKX32" s="672"/>
      <c r="OKY32" s="672"/>
      <c r="OKZ32" s="672"/>
      <c r="OLA32" s="672"/>
      <c r="OLB32" s="672"/>
      <c r="OLC32" s="672"/>
      <c r="OLD32" s="672"/>
      <c r="OLE32" s="672"/>
      <c r="OLF32" s="672"/>
      <c r="OLG32" s="672"/>
      <c r="OLH32" s="672"/>
      <c r="OLI32" s="672"/>
      <c r="OLJ32" s="672"/>
      <c r="OLK32" s="672"/>
      <c r="OLL32" s="672"/>
      <c r="OLM32" s="672"/>
      <c r="OLN32" s="672"/>
      <c r="OLO32" s="672"/>
      <c r="OLP32" s="672"/>
      <c r="OLQ32" s="672"/>
      <c r="OLR32" s="672"/>
      <c r="OLS32" s="672"/>
      <c r="OLT32" s="672"/>
      <c r="OLU32" s="672"/>
      <c r="OLV32" s="672"/>
      <c r="OLW32" s="672"/>
      <c r="OLX32" s="672"/>
      <c r="OLY32" s="672"/>
      <c r="OLZ32" s="672"/>
      <c r="OMA32" s="672"/>
      <c r="OMB32" s="672"/>
      <c r="OMC32" s="672"/>
      <c r="OMD32" s="672"/>
      <c r="OME32" s="672"/>
      <c r="OMF32" s="672"/>
      <c r="OMG32" s="672"/>
      <c r="OMH32" s="672"/>
      <c r="OMI32" s="672"/>
      <c r="OMJ32" s="672"/>
      <c r="OMK32" s="672"/>
      <c r="OML32" s="672"/>
      <c r="OMM32" s="672"/>
      <c r="OMN32" s="672"/>
      <c r="OMO32" s="672"/>
      <c r="OMP32" s="672"/>
      <c r="OMQ32" s="672"/>
      <c r="OMR32" s="672"/>
      <c r="OMS32" s="672"/>
      <c r="OMT32" s="672"/>
      <c r="OMU32" s="672"/>
      <c r="OMV32" s="672"/>
      <c r="OMW32" s="672"/>
      <c r="OMX32" s="672"/>
      <c r="OMY32" s="672"/>
      <c r="OMZ32" s="672"/>
      <c r="ONA32" s="672"/>
      <c r="ONB32" s="672"/>
      <c r="ONC32" s="672"/>
      <c r="OND32" s="672"/>
      <c r="ONE32" s="672"/>
      <c r="ONF32" s="672"/>
      <c r="ONG32" s="672"/>
      <c r="ONH32" s="672"/>
      <c r="ONI32" s="672"/>
      <c r="ONJ32" s="672"/>
      <c r="ONK32" s="672"/>
      <c r="ONL32" s="672"/>
      <c r="ONM32" s="672"/>
      <c r="ONN32" s="672"/>
      <c r="ONO32" s="672"/>
      <c r="ONP32" s="672"/>
      <c r="ONQ32" s="672"/>
      <c r="ONR32" s="672"/>
      <c r="ONS32" s="672"/>
      <c r="ONT32" s="672"/>
      <c r="ONU32" s="672"/>
      <c r="ONV32" s="672"/>
      <c r="ONW32" s="672"/>
      <c r="ONX32" s="672"/>
      <c r="ONY32" s="672"/>
      <c r="ONZ32" s="672"/>
      <c r="OOA32" s="672"/>
      <c r="OOB32" s="672"/>
      <c r="OOC32" s="672"/>
      <c r="OOD32" s="672"/>
      <c r="OOE32" s="672"/>
      <c r="OOF32" s="672"/>
      <c r="OOG32" s="672"/>
      <c r="OOH32" s="672"/>
      <c r="OOI32" s="672"/>
      <c r="OOJ32" s="672"/>
      <c r="OOK32" s="672"/>
      <c r="OOL32" s="672"/>
      <c r="OOM32" s="672"/>
      <c r="OON32" s="672"/>
      <c r="OOO32" s="672"/>
      <c r="OOP32" s="672"/>
      <c r="OOQ32" s="672"/>
      <c r="OOR32" s="672"/>
      <c r="OOS32" s="672"/>
      <c r="OOT32" s="672"/>
      <c r="OOU32" s="672"/>
      <c r="OOV32" s="672"/>
      <c r="OOW32" s="672"/>
      <c r="OOX32" s="672"/>
      <c r="OOY32" s="672"/>
      <c r="OOZ32" s="672"/>
      <c r="OPA32" s="672"/>
      <c r="OPB32" s="672"/>
      <c r="OPC32" s="672"/>
      <c r="OPD32" s="672"/>
      <c r="OPE32" s="672"/>
      <c r="OPF32" s="672"/>
      <c r="OPG32" s="672"/>
      <c r="OPH32" s="672"/>
      <c r="OPI32" s="672"/>
      <c r="OPJ32" s="672"/>
      <c r="OPK32" s="672"/>
      <c r="OPL32" s="672"/>
      <c r="OPM32" s="672"/>
      <c r="OPN32" s="672"/>
      <c r="OPO32" s="672"/>
      <c r="OPP32" s="672"/>
      <c r="OPQ32" s="672"/>
      <c r="OPR32" s="672"/>
      <c r="OPS32" s="672"/>
      <c r="OPT32" s="672"/>
      <c r="OPU32" s="672"/>
      <c r="OPV32" s="672"/>
      <c r="OPW32" s="672"/>
      <c r="OPX32" s="672"/>
      <c r="OPY32" s="672"/>
      <c r="OPZ32" s="672"/>
      <c r="OQA32" s="672"/>
      <c r="OQB32" s="672"/>
      <c r="OQC32" s="672"/>
      <c r="OQD32" s="672"/>
      <c r="OQE32" s="672"/>
      <c r="OQF32" s="672"/>
      <c r="OQG32" s="672"/>
      <c r="OQH32" s="672"/>
      <c r="OQI32" s="672"/>
      <c r="OQJ32" s="672"/>
      <c r="OQK32" s="672"/>
      <c r="OQL32" s="672"/>
      <c r="OQM32" s="672"/>
      <c r="OQN32" s="672"/>
      <c r="OQO32" s="672"/>
      <c r="OQP32" s="672"/>
      <c r="OQQ32" s="672"/>
      <c r="OQR32" s="672"/>
      <c r="OQS32" s="672"/>
      <c r="OQT32" s="672"/>
      <c r="OQU32" s="672"/>
      <c r="OQV32" s="672"/>
      <c r="OQW32" s="672"/>
      <c r="OQX32" s="672"/>
      <c r="OQY32" s="672"/>
      <c r="OQZ32" s="672"/>
      <c r="ORA32" s="672"/>
      <c r="ORB32" s="672"/>
      <c r="ORC32" s="672"/>
      <c r="ORD32" s="672"/>
      <c r="ORE32" s="672"/>
      <c r="ORF32" s="672"/>
      <c r="ORG32" s="672"/>
      <c r="ORH32" s="672"/>
      <c r="ORI32" s="672"/>
      <c r="ORJ32" s="672"/>
      <c r="ORK32" s="672"/>
      <c r="ORL32" s="672"/>
      <c r="ORM32" s="672"/>
      <c r="ORN32" s="672"/>
      <c r="ORO32" s="672"/>
      <c r="ORP32" s="672"/>
      <c r="ORQ32" s="672"/>
      <c r="ORR32" s="672"/>
      <c r="ORS32" s="672"/>
      <c r="ORT32" s="672"/>
      <c r="ORU32" s="672"/>
      <c r="ORV32" s="672"/>
      <c r="ORW32" s="672"/>
      <c r="ORX32" s="672"/>
      <c r="ORY32" s="672"/>
      <c r="ORZ32" s="672"/>
      <c r="OSA32" s="672"/>
      <c r="OSB32" s="672"/>
      <c r="OSC32" s="672"/>
      <c r="OSD32" s="672"/>
      <c r="OSE32" s="672"/>
      <c r="OSF32" s="672"/>
      <c r="OSG32" s="672"/>
      <c r="OSH32" s="672"/>
      <c r="OSI32" s="672"/>
      <c r="OSJ32" s="672"/>
      <c r="OSK32" s="672"/>
      <c r="OSL32" s="672"/>
      <c r="OSM32" s="672"/>
      <c r="OSN32" s="672"/>
      <c r="OSO32" s="672"/>
      <c r="OSP32" s="672"/>
      <c r="OSQ32" s="672"/>
      <c r="OSR32" s="672"/>
      <c r="OSS32" s="672"/>
      <c r="OST32" s="672"/>
      <c r="OSU32" s="672"/>
      <c r="OSV32" s="672"/>
      <c r="OSW32" s="672"/>
      <c r="OSX32" s="672"/>
      <c r="OSY32" s="672"/>
      <c r="OSZ32" s="672"/>
      <c r="OTA32" s="672"/>
      <c r="OTB32" s="672"/>
      <c r="OTC32" s="672"/>
      <c r="OTD32" s="672"/>
      <c r="OTE32" s="672"/>
      <c r="OTF32" s="672"/>
      <c r="OTG32" s="672"/>
      <c r="OTH32" s="672"/>
      <c r="OTI32" s="672"/>
      <c r="OTJ32" s="672"/>
      <c r="OTK32" s="672"/>
      <c r="OTL32" s="672"/>
      <c r="OTM32" s="672"/>
      <c r="OTN32" s="672"/>
      <c r="OTO32" s="672"/>
      <c r="OTP32" s="672"/>
      <c r="OTQ32" s="672"/>
      <c r="OTR32" s="672"/>
      <c r="OTS32" s="672"/>
      <c r="OTT32" s="672"/>
      <c r="OTU32" s="672"/>
      <c r="OTV32" s="672"/>
      <c r="OTW32" s="672"/>
      <c r="OTX32" s="672"/>
      <c r="OTY32" s="672"/>
      <c r="OTZ32" s="672"/>
      <c r="OUA32" s="672"/>
      <c r="OUB32" s="672"/>
      <c r="OUC32" s="672"/>
      <c r="OUD32" s="672"/>
      <c r="OUE32" s="672"/>
      <c r="OUF32" s="672"/>
      <c r="OUG32" s="672"/>
      <c r="OUH32" s="672"/>
      <c r="OUI32" s="672"/>
      <c r="OUJ32" s="672"/>
      <c r="OUK32" s="672"/>
      <c r="OUL32" s="672"/>
      <c r="OUM32" s="672"/>
      <c r="OUN32" s="672"/>
      <c r="OUO32" s="672"/>
      <c r="OUP32" s="672"/>
      <c r="OUQ32" s="672"/>
      <c r="OUR32" s="672"/>
      <c r="OUS32" s="672"/>
      <c r="OUT32" s="672"/>
      <c r="OUU32" s="672"/>
      <c r="OUV32" s="672"/>
      <c r="OUW32" s="672"/>
      <c r="OUX32" s="672"/>
      <c r="OUY32" s="672"/>
      <c r="OUZ32" s="672"/>
      <c r="OVA32" s="672"/>
      <c r="OVB32" s="672"/>
      <c r="OVC32" s="672"/>
      <c r="OVD32" s="672"/>
      <c r="OVE32" s="672"/>
      <c r="OVF32" s="672"/>
      <c r="OVG32" s="672"/>
      <c r="OVH32" s="672"/>
      <c r="OVI32" s="672"/>
      <c r="OVJ32" s="672"/>
      <c r="OVK32" s="672"/>
      <c r="OVL32" s="672"/>
      <c r="OVM32" s="672"/>
      <c r="OVN32" s="672"/>
      <c r="OVO32" s="672"/>
      <c r="OVP32" s="672"/>
      <c r="OVQ32" s="672"/>
      <c r="OVR32" s="672"/>
      <c r="OVS32" s="672"/>
      <c r="OVT32" s="672"/>
      <c r="OVU32" s="672"/>
      <c r="OVV32" s="672"/>
      <c r="OVW32" s="672"/>
      <c r="OVX32" s="672"/>
      <c r="OVY32" s="672"/>
      <c r="OVZ32" s="672"/>
      <c r="OWA32" s="672"/>
      <c r="OWB32" s="672"/>
      <c r="OWC32" s="672"/>
      <c r="OWD32" s="672"/>
      <c r="OWE32" s="672"/>
      <c r="OWF32" s="672"/>
      <c r="OWG32" s="672"/>
      <c r="OWH32" s="672"/>
      <c r="OWI32" s="672"/>
      <c r="OWJ32" s="672"/>
      <c r="OWK32" s="672"/>
      <c r="OWL32" s="672"/>
      <c r="OWM32" s="672"/>
      <c r="OWN32" s="672"/>
      <c r="OWO32" s="672"/>
      <c r="OWP32" s="672"/>
      <c r="OWQ32" s="672"/>
      <c r="OWR32" s="672"/>
      <c r="OWS32" s="672"/>
      <c r="OWT32" s="672"/>
      <c r="OWU32" s="672"/>
      <c r="OWV32" s="672"/>
      <c r="OWW32" s="672"/>
      <c r="OWX32" s="672"/>
      <c r="OWY32" s="672"/>
      <c r="OWZ32" s="672"/>
      <c r="OXA32" s="672"/>
      <c r="OXB32" s="672"/>
      <c r="OXC32" s="672"/>
      <c r="OXD32" s="672"/>
      <c r="OXE32" s="672"/>
      <c r="OXF32" s="672"/>
      <c r="OXG32" s="672"/>
      <c r="OXH32" s="672"/>
      <c r="OXI32" s="672"/>
      <c r="OXJ32" s="672"/>
      <c r="OXK32" s="672"/>
      <c r="OXL32" s="672"/>
      <c r="OXM32" s="672"/>
      <c r="OXN32" s="672"/>
      <c r="OXO32" s="672"/>
      <c r="OXP32" s="672"/>
      <c r="OXQ32" s="672"/>
      <c r="OXR32" s="672"/>
      <c r="OXS32" s="672"/>
      <c r="OXT32" s="672"/>
      <c r="OXU32" s="672"/>
      <c r="OXV32" s="672"/>
      <c r="OXW32" s="672"/>
      <c r="OXX32" s="672"/>
      <c r="OXY32" s="672"/>
      <c r="OXZ32" s="672"/>
      <c r="OYA32" s="672"/>
      <c r="OYB32" s="672"/>
      <c r="OYC32" s="672"/>
      <c r="OYD32" s="672"/>
      <c r="OYE32" s="672"/>
      <c r="OYF32" s="672"/>
      <c r="OYG32" s="672"/>
      <c r="OYH32" s="672"/>
      <c r="OYI32" s="672"/>
      <c r="OYJ32" s="672"/>
      <c r="OYK32" s="672"/>
      <c r="OYL32" s="672"/>
      <c r="OYM32" s="672"/>
      <c r="OYN32" s="672"/>
      <c r="OYO32" s="672"/>
      <c r="OYP32" s="672"/>
      <c r="OYQ32" s="672"/>
      <c r="OYR32" s="672"/>
      <c r="OYS32" s="672"/>
      <c r="OYT32" s="672"/>
      <c r="OYU32" s="672"/>
      <c r="OYV32" s="672"/>
      <c r="OYW32" s="672"/>
      <c r="OYX32" s="672"/>
      <c r="OYY32" s="672"/>
      <c r="OYZ32" s="672"/>
      <c r="OZA32" s="672"/>
      <c r="OZB32" s="672"/>
      <c r="OZC32" s="672"/>
      <c r="OZD32" s="672"/>
      <c r="OZE32" s="672"/>
      <c r="OZF32" s="672"/>
      <c r="OZG32" s="672"/>
      <c r="OZH32" s="672"/>
      <c r="OZI32" s="672"/>
      <c r="OZJ32" s="672"/>
      <c r="OZK32" s="672"/>
      <c r="OZL32" s="672"/>
      <c r="OZM32" s="672"/>
      <c r="OZN32" s="672"/>
      <c r="OZO32" s="672"/>
      <c r="OZP32" s="672"/>
      <c r="OZQ32" s="672"/>
      <c r="OZR32" s="672"/>
      <c r="OZS32" s="672"/>
      <c r="OZT32" s="672"/>
      <c r="OZU32" s="672"/>
      <c r="OZV32" s="672"/>
      <c r="OZW32" s="672"/>
      <c r="OZX32" s="672"/>
      <c r="OZY32" s="672"/>
      <c r="OZZ32" s="672"/>
      <c r="PAA32" s="672"/>
      <c r="PAB32" s="672"/>
      <c r="PAC32" s="672"/>
      <c r="PAD32" s="672"/>
      <c r="PAE32" s="672"/>
      <c r="PAF32" s="672"/>
      <c r="PAG32" s="672"/>
      <c r="PAH32" s="672"/>
      <c r="PAI32" s="672"/>
      <c r="PAJ32" s="672"/>
      <c r="PAK32" s="672"/>
      <c r="PAL32" s="672"/>
      <c r="PAM32" s="672"/>
      <c r="PAN32" s="672"/>
      <c r="PAO32" s="672"/>
      <c r="PAP32" s="672"/>
      <c r="PAQ32" s="672"/>
      <c r="PAR32" s="672"/>
      <c r="PAS32" s="672"/>
      <c r="PAT32" s="672"/>
      <c r="PAU32" s="672"/>
      <c r="PAV32" s="672"/>
      <c r="PAW32" s="672"/>
      <c r="PAX32" s="672"/>
      <c r="PAY32" s="672"/>
      <c r="PAZ32" s="672"/>
      <c r="PBA32" s="672"/>
      <c r="PBB32" s="672"/>
      <c r="PBC32" s="672"/>
      <c r="PBD32" s="672"/>
      <c r="PBE32" s="672"/>
      <c r="PBF32" s="672"/>
      <c r="PBG32" s="672"/>
      <c r="PBH32" s="672"/>
      <c r="PBI32" s="672"/>
      <c r="PBJ32" s="672"/>
      <c r="PBK32" s="672"/>
      <c r="PBL32" s="672"/>
      <c r="PBM32" s="672"/>
      <c r="PBN32" s="672"/>
      <c r="PBO32" s="672"/>
      <c r="PBP32" s="672"/>
      <c r="PBQ32" s="672"/>
      <c r="PBR32" s="672"/>
      <c r="PBS32" s="672"/>
      <c r="PBT32" s="672"/>
      <c r="PBU32" s="672"/>
      <c r="PBV32" s="672"/>
      <c r="PBW32" s="672"/>
      <c r="PBX32" s="672"/>
      <c r="PBY32" s="672"/>
      <c r="PBZ32" s="672"/>
      <c r="PCA32" s="672"/>
      <c r="PCB32" s="672"/>
      <c r="PCC32" s="672"/>
      <c r="PCD32" s="672"/>
      <c r="PCE32" s="672"/>
      <c r="PCF32" s="672"/>
      <c r="PCG32" s="672"/>
      <c r="PCH32" s="672"/>
      <c r="PCI32" s="672"/>
      <c r="PCJ32" s="672"/>
      <c r="PCK32" s="672"/>
      <c r="PCL32" s="672"/>
      <c r="PCM32" s="672"/>
      <c r="PCN32" s="672"/>
      <c r="PCO32" s="672"/>
      <c r="PCP32" s="672"/>
      <c r="PCQ32" s="672"/>
      <c r="PCR32" s="672"/>
      <c r="PCS32" s="672"/>
      <c r="PCT32" s="672"/>
      <c r="PCU32" s="672"/>
      <c r="PCV32" s="672"/>
      <c r="PCW32" s="672"/>
      <c r="PCX32" s="672"/>
      <c r="PCY32" s="672"/>
      <c r="PCZ32" s="672"/>
      <c r="PDA32" s="672"/>
      <c r="PDB32" s="672"/>
      <c r="PDC32" s="672"/>
      <c r="PDD32" s="672"/>
      <c r="PDE32" s="672"/>
      <c r="PDF32" s="672"/>
      <c r="PDG32" s="672"/>
      <c r="PDH32" s="672"/>
      <c r="PDI32" s="672"/>
      <c r="PDJ32" s="672"/>
      <c r="PDK32" s="672"/>
      <c r="PDL32" s="672"/>
      <c r="PDM32" s="672"/>
      <c r="PDN32" s="672"/>
      <c r="PDO32" s="672"/>
      <c r="PDP32" s="672"/>
      <c r="PDQ32" s="672"/>
      <c r="PDR32" s="672"/>
      <c r="PDS32" s="672"/>
      <c r="PDT32" s="672"/>
      <c r="PDU32" s="672"/>
      <c r="PDV32" s="672"/>
      <c r="PDW32" s="672"/>
      <c r="PDX32" s="672"/>
      <c r="PDY32" s="672"/>
      <c r="PDZ32" s="672"/>
      <c r="PEA32" s="672"/>
      <c r="PEB32" s="672"/>
      <c r="PEC32" s="672"/>
      <c r="PED32" s="672"/>
      <c r="PEE32" s="672"/>
      <c r="PEF32" s="672"/>
      <c r="PEG32" s="672"/>
      <c r="PEH32" s="672"/>
      <c r="PEI32" s="672"/>
      <c r="PEJ32" s="672"/>
      <c r="PEK32" s="672"/>
      <c r="PEL32" s="672"/>
      <c r="PEM32" s="672"/>
      <c r="PEN32" s="672"/>
      <c r="PEO32" s="672"/>
      <c r="PEP32" s="672"/>
      <c r="PEQ32" s="672"/>
      <c r="PER32" s="672"/>
      <c r="PES32" s="672"/>
      <c r="PET32" s="672"/>
      <c r="PEU32" s="672"/>
      <c r="PEV32" s="672"/>
      <c r="PEW32" s="672"/>
      <c r="PEX32" s="672"/>
      <c r="PEY32" s="672"/>
      <c r="PEZ32" s="672"/>
      <c r="PFA32" s="672"/>
      <c r="PFB32" s="672"/>
      <c r="PFC32" s="672"/>
      <c r="PFD32" s="672"/>
      <c r="PFE32" s="672"/>
      <c r="PFF32" s="672"/>
      <c r="PFG32" s="672"/>
      <c r="PFH32" s="672"/>
      <c r="PFI32" s="672"/>
      <c r="PFJ32" s="672"/>
      <c r="PFK32" s="672"/>
      <c r="PFL32" s="672"/>
      <c r="PFM32" s="672"/>
      <c r="PFN32" s="672"/>
      <c r="PFO32" s="672"/>
      <c r="PFP32" s="672"/>
      <c r="PFQ32" s="672"/>
      <c r="PFR32" s="672"/>
      <c r="PFS32" s="672"/>
      <c r="PFT32" s="672"/>
      <c r="PFU32" s="672"/>
      <c r="PFV32" s="672"/>
      <c r="PFW32" s="672"/>
      <c r="PFX32" s="672"/>
      <c r="PFY32" s="672"/>
      <c r="PFZ32" s="672"/>
      <c r="PGA32" s="672"/>
      <c r="PGB32" s="672"/>
      <c r="PGC32" s="672"/>
      <c r="PGD32" s="672"/>
      <c r="PGE32" s="672"/>
      <c r="PGF32" s="672"/>
      <c r="PGG32" s="672"/>
      <c r="PGH32" s="672"/>
      <c r="PGI32" s="672"/>
      <c r="PGJ32" s="672"/>
      <c r="PGK32" s="672"/>
      <c r="PGL32" s="672"/>
      <c r="PGM32" s="672"/>
      <c r="PGN32" s="672"/>
      <c r="PGO32" s="672"/>
      <c r="PGP32" s="672"/>
      <c r="PGQ32" s="672"/>
      <c r="PGR32" s="672"/>
      <c r="PGS32" s="672"/>
      <c r="PGT32" s="672"/>
      <c r="PGU32" s="672"/>
      <c r="PGV32" s="672"/>
      <c r="PGW32" s="672"/>
      <c r="PGX32" s="672"/>
      <c r="PGY32" s="672"/>
      <c r="PGZ32" s="672"/>
      <c r="PHA32" s="672"/>
      <c r="PHB32" s="672"/>
      <c r="PHC32" s="672"/>
      <c r="PHD32" s="672"/>
      <c r="PHE32" s="672"/>
      <c r="PHF32" s="672"/>
      <c r="PHG32" s="672"/>
      <c r="PHH32" s="672"/>
      <c r="PHI32" s="672"/>
      <c r="PHJ32" s="672"/>
      <c r="PHK32" s="672"/>
      <c r="PHL32" s="672"/>
      <c r="PHM32" s="672"/>
      <c r="PHN32" s="672"/>
      <c r="PHO32" s="672"/>
      <c r="PHP32" s="672"/>
      <c r="PHQ32" s="672"/>
      <c r="PHR32" s="672"/>
      <c r="PHS32" s="672"/>
      <c r="PHT32" s="672"/>
      <c r="PHU32" s="672"/>
      <c r="PHV32" s="672"/>
      <c r="PHW32" s="672"/>
      <c r="PHX32" s="672"/>
      <c r="PHY32" s="672"/>
      <c r="PHZ32" s="672"/>
      <c r="PIA32" s="672"/>
      <c r="PIB32" s="672"/>
      <c r="PIC32" s="672"/>
      <c r="PID32" s="672"/>
      <c r="PIE32" s="672"/>
      <c r="PIF32" s="672"/>
      <c r="PIG32" s="672"/>
      <c r="PIH32" s="672"/>
      <c r="PII32" s="672"/>
      <c r="PIJ32" s="672"/>
      <c r="PIK32" s="672"/>
      <c r="PIL32" s="672"/>
      <c r="PIM32" s="672"/>
      <c r="PIN32" s="672"/>
      <c r="PIO32" s="672"/>
      <c r="PIP32" s="672"/>
      <c r="PIQ32" s="672"/>
      <c r="PIR32" s="672"/>
      <c r="PIS32" s="672"/>
      <c r="PIT32" s="672"/>
      <c r="PIU32" s="672"/>
      <c r="PIV32" s="672"/>
      <c r="PIW32" s="672"/>
      <c r="PIX32" s="672"/>
      <c r="PIY32" s="672"/>
      <c r="PIZ32" s="672"/>
      <c r="PJA32" s="672"/>
      <c r="PJB32" s="672"/>
      <c r="PJC32" s="672"/>
      <c r="PJD32" s="672"/>
      <c r="PJE32" s="672"/>
      <c r="PJF32" s="672"/>
      <c r="PJG32" s="672"/>
      <c r="PJH32" s="672"/>
      <c r="PJI32" s="672"/>
      <c r="PJJ32" s="672"/>
      <c r="PJK32" s="672"/>
      <c r="PJL32" s="672"/>
      <c r="PJM32" s="672"/>
      <c r="PJN32" s="672"/>
      <c r="PJO32" s="672"/>
      <c r="PJP32" s="672"/>
      <c r="PJQ32" s="672"/>
      <c r="PJR32" s="672"/>
      <c r="PJS32" s="672"/>
      <c r="PJT32" s="672"/>
      <c r="PJU32" s="672"/>
      <c r="PJV32" s="672"/>
      <c r="PJW32" s="672"/>
      <c r="PJX32" s="672"/>
      <c r="PJY32" s="672"/>
      <c r="PJZ32" s="672"/>
      <c r="PKA32" s="672"/>
      <c r="PKB32" s="672"/>
      <c r="PKC32" s="672"/>
      <c r="PKD32" s="672"/>
      <c r="PKE32" s="672"/>
      <c r="PKF32" s="672"/>
      <c r="PKG32" s="672"/>
      <c r="PKH32" s="672"/>
      <c r="PKI32" s="672"/>
      <c r="PKJ32" s="672"/>
      <c r="PKK32" s="672"/>
      <c r="PKL32" s="672"/>
      <c r="PKM32" s="672"/>
      <c r="PKN32" s="672"/>
      <c r="PKO32" s="672"/>
      <c r="PKP32" s="672"/>
      <c r="PKQ32" s="672"/>
      <c r="PKR32" s="672"/>
      <c r="PKS32" s="672"/>
      <c r="PKT32" s="672"/>
      <c r="PKU32" s="672"/>
      <c r="PKV32" s="672"/>
      <c r="PKW32" s="672"/>
      <c r="PKX32" s="672"/>
      <c r="PKY32" s="672"/>
      <c r="PKZ32" s="672"/>
      <c r="PLA32" s="672"/>
      <c r="PLB32" s="672"/>
      <c r="PLC32" s="672"/>
      <c r="PLD32" s="672"/>
      <c r="PLE32" s="672"/>
      <c r="PLF32" s="672"/>
      <c r="PLG32" s="672"/>
      <c r="PLH32" s="672"/>
      <c r="PLI32" s="672"/>
      <c r="PLJ32" s="672"/>
      <c r="PLK32" s="672"/>
      <c r="PLL32" s="672"/>
      <c r="PLM32" s="672"/>
      <c r="PLN32" s="672"/>
      <c r="PLO32" s="672"/>
      <c r="PLP32" s="672"/>
      <c r="PLQ32" s="672"/>
      <c r="PLR32" s="672"/>
      <c r="PLS32" s="672"/>
      <c r="PLT32" s="672"/>
      <c r="PLU32" s="672"/>
      <c r="PLV32" s="672"/>
      <c r="PLW32" s="672"/>
      <c r="PLX32" s="672"/>
      <c r="PLY32" s="672"/>
      <c r="PLZ32" s="672"/>
      <c r="PMA32" s="672"/>
      <c r="PMB32" s="672"/>
      <c r="PMC32" s="672"/>
      <c r="PMD32" s="672"/>
      <c r="PME32" s="672"/>
      <c r="PMF32" s="672"/>
      <c r="PMG32" s="672"/>
      <c r="PMH32" s="672"/>
      <c r="PMI32" s="672"/>
      <c r="PMJ32" s="672"/>
      <c r="PMK32" s="672"/>
      <c r="PML32" s="672"/>
      <c r="PMM32" s="672"/>
      <c r="PMN32" s="672"/>
      <c r="PMO32" s="672"/>
      <c r="PMP32" s="672"/>
      <c r="PMQ32" s="672"/>
      <c r="PMR32" s="672"/>
      <c r="PMS32" s="672"/>
      <c r="PMT32" s="672"/>
      <c r="PMU32" s="672"/>
      <c r="PMV32" s="672"/>
      <c r="PMW32" s="672"/>
      <c r="PMX32" s="672"/>
      <c r="PMY32" s="672"/>
      <c r="PMZ32" s="672"/>
      <c r="PNA32" s="672"/>
      <c r="PNB32" s="672"/>
      <c r="PNC32" s="672"/>
      <c r="PND32" s="672"/>
      <c r="PNE32" s="672"/>
      <c r="PNF32" s="672"/>
      <c r="PNG32" s="672"/>
      <c r="PNH32" s="672"/>
      <c r="PNI32" s="672"/>
      <c r="PNJ32" s="672"/>
      <c r="PNK32" s="672"/>
      <c r="PNL32" s="672"/>
      <c r="PNM32" s="672"/>
      <c r="PNN32" s="672"/>
      <c r="PNO32" s="672"/>
      <c r="PNP32" s="672"/>
      <c r="PNQ32" s="672"/>
      <c r="PNR32" s="672"/>
      <c r="PNS32" s="672"/>
      <c r="PNT32" s="672"/>
      <c r="PNU32" s="672"/>
      <c r="PNV32" s="672"/>
      <c r="PNW32" s="672"/>
      <c r="PNX32" s="672"/>
      <c r="PNY32" s="672"/>
      <c r="PNZ32" s="672"/>
      <c r="POA32" s="672"/>
      <c r="POB32" s="672"/>
      <c r="POC32" s="672"/>
      <c r="POD32" s="672"/>
      <c r="POE32" s="672"/>
      <c r="POF32" s="672"/>
      <c r="POG32" s="672"/>
      <c r="POH32" s="672"/>
      <c r="POI32" s="672"/>
      <c r="POJ32" s="672"/>
      <c r="POK32" s="672"/>
      <c r="POL32" s="672"/>
      <c r="POM32" s="672"/>
      <c r="PON32" s="672"/>
      <c r="POO32" s="672"/>
      <c r="POP32" s="672"/>
      <c r="POQ32" s="672"/>
      <c r="POR32" s="672"/>
      <c r="POS32" s="672"/>
      <c r="POT32" s="672"/>
      <c r="POU32" s="672"/>
      <c r="POV32" s="672"/>
      <c r="POW32" s="672"/>
      <c r="POX32" s="672"/>
      <c r="POY32" s="672"/>
      <c r="POZ32" s="672"/>
      <c r="PPA32" s="672"/>
      <c r="PPB32" s="672"/>
      <c r="PPC32" s="672"/>
      <c r="PPD32" s="672"/>
      <c r="PPE32" s="672"/>
      <c r="PPF32" s="672"/>
      <c r="PPG32" s="672"/>
      <c r="PPH32" s="672"/>
      <c r="PPI32" s="672"/>
      <c r="PPJ32" s="672"/>
      <c r="PPK32" s="672"/>
      <c r="PPL32" s="672"/>
      <c r="PPM32" s="672"/>
      <c r="PPN32" s="672"/>
      <c r="PPO32" s="672"/>
      <c r="PPP32" s="672"/>
      <c r="PPQ32" s="672"/>
      <c r="PPR32" s="672"/>
      <c r="PPS32" s="672"/>
      <c r="PPT32" s="672"/>
      <c r="PPU32" s="672"/>
      <c r="PPV32" s="672"/>
      <c r="PPW32" s="672"/>
      <c r="PPX32" s="672"/>
      <c r="PPY32" s="672"/>
      <c r="PPZ32" s="672"/>
      <c r="PQA32" s="672"/>
      <c r="PQB32" s="672"/>
      <c r="PQC32" s="672"/>
      <c r="PQD32" s="672"/>
      <c r="PQE32" s="672"/>
      <c r="PQF32" s="672"/>
      <c r="PQG32" s="672"/>
      <c r="PQH32" s="672"/>
      <c r="PQI32" s="672"/>
      <c r="PQJ32" s="672"/>
      <c r="PQK32" s="672"/>
      <c r="PQL32" s="672"/>
      <c r="PQM32" s="672"/>
      <c r="PQN32" s="672"/>
      <c r="PQO32" s="672"/>
      <c r="PQP32" s="672"/>
      <c r="PQQ32" s="672"/>
      <c r="PQR32" s="672"/>
      <c r="PQS32" s="672"/>
      <c r="PQT32" s="672"/>
      <c r="PQU32" s="672"/>
      <c r="PQV32" s="672"/>
      <c r="PQW32" s="672"/>
      <c r="PQX32" s="672"/>
      <c r="PQY32" s="672"/>
      <c r="PQZ32" s="672"/>
      <c r="PRA32" s="672"/>
      <c r="PRB32" s="672"/>
      <c r="PRC32" s="672"/>
      <c r="PRD32" s="672"/>
      <c r="PRE32" s="672"/>
      <c r="PRF32" s="672"/>
      <c r="PRG32" s="672"/>
      <c r="PRH32" s="672"/>
      <c r="PRI32" s="672"/>
      <c r="PRJ32" s="672"/>
      <c r="PRK32" s="672"/>
      <c r="PRL32" s="672"/>
      <c r="PRM32" s="672"/>
      <c r="PRN32" s="672"/>
      <c r="PRO32" s="672"/>
      <c r="PRP32" s="672"/>
      <c r="PRQ32" s="672"/>
      <c r="PRR32" s="672"/>
      <c r="PRS32" s="672"/>
      <c r="PRT32" s="672"/>
      <c r="PRU32" s="672"/>
      <c r="PRV32" s="672"/>
      <c r="PRW32" s="672"/>
      <c r="PRX32" s="672"/>
      <c r="PRY32" s="672"/>
      <c r="PRZ32" s="672"/>
      <c r="PSA32" s="672"/>
      <c r="PSB32" s="672"/>
      <c r="PSC32" s="672"/>
      <c r="PSD32" s="672"/>
      <c r="PSE32" s="672"/>
      <c r="PSF32" s="672"/>
      <c r="PSG32" s="672"/>
      <c r="PSH32" s="672"/>
      <c r="PSI32" s="672"/>
      <c r="PSJ32" s="672"/>
      <c r="PSK32" s="672"/>
      <c r="PSL32" s="672"/>
      <c r="PSM32" s="672"/>
      <c r="PSN32" s="672"/>
      <c r="PSO32" s="672"/>
      <c r="PSP32" s="672"/>
      <c r="PSQ32" s="672"/>
      <c r="PSR32" s="672"/>
      <c r="PSS32" s="672"/>
      <c r="PST32" s="672"/>
      <c r="PSU32" s="672"/>
      <c r="PSV32" s="672"/>
      <c r="PSW32" s="672"/>
      <c r="PSX32" s="672"/>
      <c r="PSY32" s="672"/>
      <c r="PSZ32" s="672"/>
      <c r="PTA32" s="672"/>
      <c r="PTB32" s="672"/>
      <c r="PTC32" s="672"/>
      <c r="PTD32" s="672"/>
      <c r="PTE32" s="672"/>
      <c r="PTF32" s="672"/>
      <c r="PTG32" s="672"/>
      <c r="PTH32" s="672"/>
      <c r="PTI32" s="672"/>
      <c r="PTJ32" s="672"/>
      <c r="PTK32" s="672"/>
      <c r="PTL32" s="672"/>
      <c r="PTM32" s="672"/>
      <c r="PTN32" s="672"/>
      <c r="PTO32" s="672"/>
      <c r="PTP32" s="672"/>
      <c r="PTQ32" s="672"/>
      <c r="PTR32" s="672"/>
      <c r="PTS32" s="672"/>
      <c r="PTT32" s="672"/>
      <c r="PTU32" s="672"/>
      <c r="PTV32" s="672"/>
      <c r="PTW32" s="672"/>
      <c r="PTX32" s="672"/>
      <c r="PTY32" s="672"/>
      <c r="PTZ32" s="672"/>
      <c r="PUA32" s="672"/>
      <c r="PUB32" s="672"/>
      <c r="PUC32" s="672"/>
      <c r="PUD32" s="672"/>
      <c r="PUE32" s="672"/>
      <c r="PUF32" s="672"/>
      <c r="PUG32" s="672"/>
      <c r="PUH32" s="672"/>
      <c r="PUI32" s="672"/>
      <c r="PUJ32" s="672"/>
      <c r="PUK32" s="672"/>
      <c r="PUL32" s="672"/>
      <c r="PUM32" s="672"/>
      <c r="PUN32" s="672"/>
      <c r="PUO32" s="672"/>
      <c r="PUP32" s="672"/>
      <c r="PUQ32" s="672"/>
      <c r="PUR32" s="672"/>
      <c r="PUS32" s="672"/>
      <c r="PUT32" s="672"/>
      <c r="PUU32" s="672"/>
      <c r="PUV32" s="672"/>
      <c r="PUW32" s="672"/>
      <c r="PUX32" s="672"/>
      <c r="PUY32" s="672"/>
      <c r="PUZ32" s="672"/>
      <c r="PVA32" s="672"/>
      <c r="PVB32" s="672"/>
      <c r="PVC32" s="672"/>
      <c r="PVD32" s="672"/>
      <c r="PVE32" s="672"/>
      <c r="PVF32" s="672"/>
      <c r="PVG32" s="672"/>
      <c r="PVH32" s="672"/>
      <c r="PVI32" s="672"/>
      <c r="PVJ32" s="672"/>
      <c r="PVK32" s="672"/>
      <c r="PVL32" s="672"/>
      <c r="PVM32" s="672"/>
      <c r="PVN32" s="672"/>
      <c r="PVO32" s="672"/>
      <c r="PVP32" s="672"/>
      <c r="PVQ32" s="672"/>
      <c r="PVR32" s="672"/>
      <c r="PVS32" s="672"/>
      <c r="PVT32" s="672"/>
      <c r="PVU32" s="672"/>
      <c r="PVV32" s="672"/>
      <c r="PVW32" s="672"/>
      <c r="PVX32" s="672"/>
      <c r="PVY32" s="672"/>
      <c r="PVZ32" s="672"/>
      <c r="PWA32" s="672"/>
      <c r="PWB32" s="672"/>
      <c r="PWC32" s="672"/>
      <c r="PWD32" s="672"/>
      <c r="PWE32" s="672"/>
      <c r="PWF32" s="672"/>
      <c r="PWG32" s="672"/>
      <c r="PWH32" s="672"/>
      <c r="PWI32" s="672"/>
      <c r="PWJ32" s="672"/>
      <c r="PWK32" s="672"/>
      <c r="PWL32" s="672"/>
      <c r="PWM32" s="672"/>
      <c r="PWN32" s="672"/>
      <c r="PWO32" s="672"/>
      <c r="PWP32" s="672"/>
      <c r="PWQ32" s="672"/>
      <c r="PWR32" s="672"/>
      <c r="PWS32" s="672"/>
      <c r="PWT32" s="672"/>
      <c r="PWU32" s="672"/>
      <c r="PWV32" s="672"/>
      <c r="PWW32" s="672"/>
      <c r="PWX32" s="672"/>
      <c r="PWY32" s="672"/>
      <c r="PWZ32" s="672"/>
      <c r="PXA32" s="672"/>
      <c r="PXB32" s="672"/>
      <c r="PXC32" s="672"/>
      <c r="PXD32" s="672"/>
      <c r="PXE32" s="672"/>
      <c r="PXF32" s="672"/>
      <c r="PXG32" s="672"/>
      <c r="PXH32" s="672"/>
      <c r="PXI32" s="672"/>
      <c r="PXJ32" s="672"/>
      <c r="PXK32" s="672"/>
      <c r="PXL32" s="672"/>
      <c r="PXM32" s="672"/>
      <c r="PXN32" s="672"/>
      <c r="PXO32" s="672"/>
      <c r="PXP32" s="672"/>
      <c r="PXQ32" s="672"/>
      <c r="PXR32" s="672"/>
      <c r="PXS32" s="672"/>
      <c r="PXT32" s="672"/>
      <c r="PXU32" s="672"/>
      <c r="PXV32" s="672"/>
      <c r="PXW32" s="672"/>
      <c r="PXX32" s="672"/>
      <c r="PXY32" s="672"/>
      <c r="PXZ32" s="672"/>
      <c r="PYA32" s="672"/>
      <c r="PYB32" s="672"/>
      <c r="PYC32" s="672"/>
      <c r="PYD32" s="672"/>
      <c r="PYE32" s="672"/>
      <c r="PYF32" s="672"/>
      <c r="PYG32" s="672"/>
      <c r="PYH32" s="672"/>
      <c r="PYI32" s="672"/>
      <c r="PYJ32" s="672"/>
      <c r="PYK32" s="672"/>
      <c r="PYL32" s="672"/>
      <c r="PYM32" s="672"/>
      <c r="PYN32" s="672"/>
      <c r="PYO32" s="672"/>
      <c r="PYP32" s="672"/>
      <c r="PYQ32" s="672"/>
      <c r="PYR32" s="672"/>
      <c r="PYS32" s="672"/>
      <c r="PYT32" s="672"/>
      <c r="PYU32" s="672"/>
      <c r="PYV32" s="672"/>
      <c r="PYW32" s="672"/>
      <c r="PYX32" s="672"/>
      <c r="PYY32" s="672"/>
      <c r="PYZ32" s="672"/>
      <c r="PZA32" s="672"/>
      <c r="PZB32" s="672"/>
      <c r="PZC32" s="672"/>
      <c r="PZD32" s="672"/>
      <c r="PZE32" s="672"/>
      <c r="PZF32" s="672"/>
      <c r="PZG32" s="672"/>
      <c r="PZH32" s="672"/>
      <c r="PZI32" s="672"/>
      <c r="PZJ32" s="672"/>
      <c r="PZK32" s="672"/>
      <c r="PZL32" s="672"/>
      <c r="PZM32" s="672"/>
      <c r="PZN32" s="672"/>
      <c r="PZO32" s="672"/>
      <c r="PZP32" s="672"/>
      <c r="PZQ32" s="672"/>
      <c r="PZR32" s="672"/>
      <c r="PZS32" s="672"/>
      <c r="PZT32" s="672"/>
      <c r="PZU32" s="672"/>
      <c r="PZV32" s="672"/>
      <c r="PZW32" s="672"/>
      <c r="PZX32" s="672"/>
      <c r="PZY32" s="672"/>
      <c r="PZZ32" s="672"/>
      <c r="QAA32" s="672"/>
      <c r="QAB32" s="672"/>
      <c r="QAC32" s="672"/>
      <c r="QAD32" s="672"/>
      <c r="QAE32" s="672"/>
      <c r="QAF32" s="672"/>
      <c r="QAG32" s="672"/>
      <c r="QAH32" s="672"/>
      <c r="QAI32" s="672"/>
      <c r="QAJ32" s="672"/>
      <c r="QAK32" s="672"/>
      <c r="QAL32" s="672"/>
      <c r="QAM32" s="672"/>
      <c r="QAN32" s="672"/>
      <c r="QAO32" s="672"/>
      <c r="QAP32" s="672"/>
      <c r="QAQ32" s="672"/>
      <c r="QAR32" s="672"/>
      <c r="QAS32" s="672"/>
      <c r="QAT32" s="672"/>
      <c r="QAU32" s="672"/>
      <c r="QAV32" s="672"/>
      <c r="QAW32" s="672"/>
      <c r="QAX32" s="672"/>
      <c r="QAY32" s="672"/>
      <c r="QAZ32" s="672"/>
      <c r="QBA32" s="672"/>
      <c r="QBB32" s="672"/>
      <c r="QBC32" s="672"/>
      <c r="QBD32" s="672"/>
      <c r="QBE32" s="672"/>
      <c r="QBF32" s="672"/>
      <c r="QBG32" s="672"/>
      <c r="QBH32" s="672"/>
      <c r="QBI32" s="672"/>
      <c r="QBJ32" s="672"/>
      <c r="QBK32" s="672"/>
      <c r="QBL32" s="672"/>
      <c r="QBM32" s="672"/>
      <c r="QBN32" s="672"/>
      <c r="QBO32" s="672"/>
      <c r="QBP32" s="672"/>
      <c r="QBQ32" s="672"/>
      <c r="QBR32" s="672"/>
      <c r="QBS32" s="672"/>
      <c r="QBT32" s="672"/>
      <c r="QBU32" s="672"/>
      <c r="QBV32" s="672"/>
      <c r="QBW32" s="672"/>
      <c r="QBX32" s="672"/>
      <c r="QBY32" s="672"/>
      <c r="QBZ32" s="672"/>
      <c r="QCA32" s="672"/>
      <c r="QCB32" s="672"/>
      <c r="QCC32" s="672"/>
      <c r="QCD32" s="672"/>
      <c r="QCE32" s="672"/>
      <c r="QCF32" s="672"/>
      <c r="QCG32" s="672"/>
      <c r="QCH32" s="672"/>
      <c r="QCI32" s="672"/>
      <c r="QCJ32" s="672"/>
      <c r="QCK32" s="672"/>
      <c r="QCL32" s="672"/>
      <c r="QCM32" s="672"/>
      <c r="QCN32" s="672"/>
      <c r="QCO32" s="672"/>
      <c r="QCP32" s="672"/>
      <c r="QCQ32" s="672"/>
      <c r="QCR32" s="672"/>
      <c r="QCS32" s="672"/>
      <c r="QCT32" s="672"/>
      <c r="QCU32" s="672"/>
      <c r="QCV32" s="672"/>
      <c r="QCW32" s="672"/>
      <c r="QCX32" s="672"/>
      <c r="QCY32" s="672"/>
      <c r="QCZ32" s="672"/>
      <c r="QDA32" s="672"/>
      <c r="QDB32" s="672"/>
      <c r="QDC32" s="672"/>
      <c r="QDD32" s="672"/>
      <c r="QDE32" s="672"/>
      <c r="QDF32" s="672"/>
      <c r="QDG32" s="672"/>
      <c r="QDH32" s="672"/>
      <c r="QDI32" s="672"/>
      <c r="QDJ32" s="672"/>
      <c r="QDK32" s="672"/>
      <c r="QDL32" s="672"/>
      <c r="QDM32" s="672"/>
      <c r="QDN32" s="672"/>
      <c r="QDO32" s="672"/>
      <c r="QDP32" s="672"/>
      <c r="QDQ32" s="672"/>
      <c r="QDR32" s="672"/>
      <c r="QDS32" s="672"/>
      <c r="QDT32" s="672"/>
      <c r="QDU32" s="672"/>
      <c r="QDV32" s="672"/>
      <c r="QDW32" s="672"/>
      <c r="QDX32" s="672"/>
      <c r="QDY32" s="672"/>
      <c r="QDZ32" s="672"/>
      <c r="QEA32" s="672"/>
      <c r="QEB32" s="672"/>
      <c r="QEC32" s="672"/>
      <c r="QED32" s="672"/>
      <c r="QEE32" s="672"/>
      <c r="QEF32" s="672"/>
      <c r="QEG32" s="672"/>
      <c r="QEH32" s="672"/>
      <c r="QEI32" s="672"/>
      <c r="QEJ32" s="672"/>
      <c r="QEK32" s="672"/>
      <c r="QEL32" s="672"/>
      <c r="QEM32" s="672"/>
      <c r="QEN32" s="672"/>
      <c r="QEO32" s="672"/>
      <c r="QEP32" s="672"/>
      <c r="QEQ32" s="672"/>
      <c r="QER32" s="672"/>
      <c r="QES32" s="672"/>
      <c r="QET32" s="672"/>
      <c r="QEU32" s="672"/>
      <c r="QEV32" s="672"/>
      <c r="QEW32" s="672"/>
      <c r="QEX32" s="672"/>
      <c r="QEY32" s="672"/>
      <c r="QEZ32" s="672"/>
      <c r="QFA32" s="672"/>
      <c r="QFB32" s="672"/>
      <c r="QFC32" s="672"/>
      <c r="QFD32" s="672"/>
      <c r="QFE32" s="672"/>
      <c r="QFF32" s="672"/>
      <c r="QFG32" s="672"/>
      <c r="QFH32" s="672"/>
      <c r="QFI32" s="672"/>
      <c r="QFJ32" s="672"/>
      <c r="QFK32" s="672"/>
      <c r="QFL32" s="672"/>
      <c r="QFM32" s="672"/>
      <c r="QFN32" s="672"/>
      <c r="QFO32" s="672"/>
      <c r="QFP32" s="672"/>
      <c r="QFQ32" s="672"/>
      <c r="QFR32" s="672"/>
      <c r="QFS32" s="672"/>
      <c r="QFT32" s="672"/>
      <c r="QFU32" s="672"/>
      <c r="QFV32" s="672"/>
      <c r="QFW32" s="672"/>
      <c r="QFX32" s="672"/>
      <c r="QFY32" s="672"/>
      <c r="QFZ32" s="672"/>
      <c r="QGA32" s="672"/>
      <c r="QGB32" s="672"/>
      <c r="QGC32" s="672"/>
      <c r="QGD32" s="672"/>
      <c r="QGE32" s="672"/>
      <c r="QGF32" s="672"/>
      <c r="QGG32" s="672"/>
      <c r="QGH32" s="672"/>
      <c r="QGI32" s="672"/>
      <c r="QGJ32" s="672"/>
      <c r="QGK32" s="672"/>
      <c r="QGL32" s="672"/>
      <c r="QGM32" s="672"/>
      <c r="QGN32" s="672"/>
      <c r="QGO32" s="672"/>
      <c r="QGP32" s="672"/>
      <c r="QGQ32" s="672"/>
      <c r="QGR32" s="672"/>
      <c r="QGS32" s="672"/>
      <c r="QGT32" s="672"/>
      <c r="QGU32" s="672"/>
      <c r="QGV32" s="672"/>
      <c r="QGW32" s="672"/>
      <c r="QGX32" s="672"/>
      <c r="QGY32" s="672"/>
      <c r="QGZ32" s="672"/>
      <c r="QHA32" s="672"/>
      <c r="QHB32" s="672"/>
      <c r="QHC32" s="672"/>
      <c r="QHD32" s="672"/>
      <c r="QHE32" s="672"/>
      <c r="QHF32" s="672"/>
      <c r="QHG32" s="672"/>
      <c r="QHH32" s="672"/>
      <c r="QHI32" s="672"/>
      <c r="QHJ32" s="672"/>
      <c r="QHK32" s="672"/>
      <c r="QHL32" s="672"/>
      <c r="QHM32" s="672"/>
      <c r="QHN32" s="672"/>
      <c r="QHO32" s="672"/>
      <c r="QHP32" s="672"/>
      <c r="QHQ32" s="672"/>
      <c r="QHR32" s="672"/>
      <c r="QHS32" s="672"/>
      <c r="QHT32" s="672"/>
      <c r="QHU32" s="672"/>
      <c r="QHV32" s="672"/>
      <c r="QHW32" s="672"/>
      <c r="QHX32" s="672"/>
      <c r="QHY32" s="672"/>
      <c r="QHZ32" s="672"/>
      <c r="QIA32" s="672"/>
      <c r="QIB32" s="672"/>
      <c r="QIC32" s="672"/>
      <c r="QID32" s="672"/>
      <c r="QIE32" s="672"/>
      <c r="QIF32" s="672"/>
      <c r="QIG32" s="672"/>
      <c r="QIH32" s="672"/>
      <c r="QII32" s="672"/>
      <c r="QIJ32" s="672"/>
      <c r="QIK32" s="672"/>
      <c r="QIL32" s="672"/>
      <c r="QIM32" s="672"/>
      <c r="QIN32" s="672"/>
      <c r="QIO32" s="672"/>
      <c r="QIP32" s="672"/>
      <c r="QIQ32" s="672"/>
      <c r="QIR32" s="672"/>
      <c r="QIS32" s="672"/>
      <c r="QIT32" s="672"/>
      <c r="QIU32" s="672"/>
      <c r="QIV32" s="672"/>
      <c r="QIW32" s="672"/>
      <c r="QIX32" s="672"/>
      <c r="QIY32" s="672"/>
      <c r="QIZ32" s="672"/>
      <c r="QJA32" s="672"/>
      <c r="QJB32" s="672"/>
      <c r="QJC32" s="672"/>
      <c r="QJD32" s="672"/>
      <c r="QJE32" s="672"/>
      <c r="QJF32" s="672"/>
      <c r="QJG32" s="672"/>
      <c r="QJH32" s="672"/>
      <c r="QJI32" s="672"/>
      <c r="QJJ32" s="672"/>
      <c r="QJK32" s="672"/>
      <c r="QJL32" s="672"/>
      <c r="QJM32" s="672"/>
      <c r="QJN32" s="672"/>
      <c r="QJO32" s="672"/>
      <c r="QJP32" s="672"/>
      <c r="QJQ32" s="672"/>
      <c r="QJR32" s="672"/>
      <c r="QJS32" s="672"/>
      <c r="QJT32" s="672"/>
      <c r="QJU32" s="672"/>
      <c r="QJV32" s="672"/>
      <c r="QJW32" s="672"/>
      <c r="QJX32" s="672"/>
      <c r="QJY32" s="672"/>
      <c r="QJZ32" s="672"/>
      <c r="QKA32" s="672"/>
      <c r="QKB32" s="672"/>
      <c r="QKC32" s="672"/>
      <c r="QKD32" s="672"/>
      <c r="QKE32" s="672"/>
      <c r="QKF32" s="672"/>
      <c r="QKG32" s="672"/>
      <c r="QKH32" s="672"/>
      <c r="QKI32" s="672"/>
      <c r="QKJ32" s="672"/>
      <c r="QKK32" s="672"/>
      <c r="QKL32" s="672"/>
      <c r="QKM32" s="672"/>
      <c r="QKN32" s="672"/>
      <c r="QKO32" s="672"/>
      <c r="QKP32" s="672"/>
      <c r="QKQ32" s="672"/>
      <c r="QKR32" s="672"/>
      <c r="QKS32" s="672"/>
      <c r="QKT32" s="672"/>
      <c r="QKU32" s="672"/>
      <c r="QKV32" s="672"/>
      <c r="QKW32" s="672"/>
      <c r="QKX32" s="672"/>
      <c r="QKY32" s="672"/>
      <c r="QKZ32" s="672"/>
      <c r="QLA32" s="672"/>
      <c r="QLB32" s="672"/>
      <c r="QLC32" s="672"/>
      <c r="QLD32" s="672"/>
      <c r="QLE32" s="672"/>
      <c r="QLF32" s="672"/>
      <c r="QLG32" s="672"/>
      <c r="QLH32" s="672"/>
      <c r="QLI32" s="672"/>
      <c r="QLJ32" s="672"/>
      <c r="QLK32" s="672"/>
      <c r="QLL32" s="672"/>
      <c r="QLM32" s="672"/>
      <c r="QLN32" s="672"/>
      <c r="QLO32" s="672"/>
      <c r="QLP32" s="672"/>
      <c r="QLQ32" s="672"/>
      <c r="QLR32" s="672"/>
      <c r="QLS32" s="672"/>
      <c r="QLT32" s="672"/>
      <c r="QLU32" s="672"/>
      <c r="QLV32" s="672"/>
      <c r="QLW32" s="672"/>
      <c r="QLX32" s="672"/>
      <c r="QLY32" s="672"/>
      <c r="QLZ32" s="672"/>
      <c r="QMA32" s="672"/>
      <c r="QMB32" s="672"/>
      <c r="QMC32" s="672"/>
      <c r="QMD32" s="672"/>
      <c r="QME32" s="672"/>
      <c r="QMF32" s="672"/>
      <c r="QMG32" s="672"/>
      <c r="QMH32" s="672"/>
      <c r="QMI32" s="672"/>
      <c r="QMJ32" s="672"/>
      <c r="QMK32" s="672"/>
      <c r="QML32" s="672"/>
      <c r="QMM32" s="672"/>
      <c r="QMN32" s="672"/>
      <c r="QMO32" s="672"/>
      <c r="QMP32" s="672"/>
      <c r="QMQ32" s="672"/>
      <c r="QMR32" s="672"/>
      <c r="QMS32" s="672"/>
      <c r="QMT32" s="672"/>
      <c r="QMU32" s="672"/>
      <c r="QMV32" s="672"/>
      <c r="QMW32" s="672"/>
      <c r="QMX32" s="672"/>
      <c r="QMY32" s="672"/>
      <c r="QMZ32" s="672"/>
      <c r="QNA32" s="672"/>
      <c r="QNB32" s="672"/>
      <c r="QNC32" s="672"/>
      <c r="QND32" s="672"/>
      <c r="QNE32" s="672"/>
      <c r="QNF32" s="672"/>
      <c r="QNG32" s="672"/>
      <c r="QNH32" s="672"/>
      <c r="QNI32" s="672"/>
      <c r="QNJ32" s="672"/>
      <c r="QNK32" s="672"/>
      <c r="QNL32" s="672"/>
      <c r="QNM32" s="672"/>
      <c r="QNN32" s="672"/>
      <c r="QNO32" s="672"/>
      <c r="QNP32" s="672"/>
      <c r="QNQ32" s="672"/>
      <c r="QNR32" s="672"/>
      <c r="QNS32" s="672"/>
      <c r="QNT32" s="672"/>
      <c r="QNU32" s="672"/>
      <c r="QNV32" s="672"/>
      <c r="QNW32" s="672"/>
      <c r="QNX32" s="672"/>
      <c r="QNY32" s="672"/>
      <c r="QNZ32" s="672"/>
      <c r="QOA32" s="672"/>
      <c r="QOB32" s="672"/>
      <c r="QOC32" s="672"/>
      <c r="QOD32" s="672"/>
      <c r="QOE32" s="672"/>
      <c r="QOF32" s="672"/>
      <c r="QOG32" s="672"/>
      <c r="QOH32" s="672"/>
      <c r="QOI32" s="672"/>
      <c r="QOJ32" s="672"/>
      <c r="QOK32" s="672"/>
      <c r="QOL32" s="672"/>
      <c r="QOM32" s="672"/>
      <c r="QON32" s="672"/>
      <c r="QOO32" s="672"/>
      <c r="QOP32" s="672"/>
      <c r="QOQ32" s="672"/>
      <c r="QOR32" s="672"/>
      <c r="QOS32" s="672"/>
      <c r="QOT32" s="672"/>
      <c r="QOU32" s="672"/>
      <c r="QOV32" s="672"/>
      <c r="QOW32" s="672"/>
      <c r="QOX32" s="672"/>
      <c r="QOY32" s="672"/>
      <c r="QOZ32" s="672"/>
      <c r="QPA32" s="672"/>
      <c r="QPB32" s="672"/>
      <c r="QPC32" s="672"/>
      <c r="QPD32" s="672"/>
      <c r="QPE32" s="672"/>
      <c r="QPF32" s="672"/>
      <c r="QPG32" s="672"/>
      <c r="QPH32" s="672"/>
      <c r="QPI32" s="672"/>
      <c r="QPJ32" s="672"/>
      <c r="QPK32" s="672"/>
      <c r="QPL32" s="672"/>
      <c r="QPM32" s="672"/>
      <c r="QPN32" s="672"/>
      <c r="QPO32" s="672"/>
      <c r="QPP32" s="672"/>
      <c r="QPQ32" s="672"/>
      <c r="QPR32" s="672"/>
      <c r="QPS32" s="672"/>
      <c r="QPT32" s="672"/>
      <c r="QPU32" s="672"/>
      <c r="QPV32" s="672"/>
      <c r="QPW32" s="672"/>
      <c r="QPX32" s="672"/>
      <c r="QPY32" s="672"/>
      <c r="QPZ32" s="672"/>
      <c r="QQA32" s="672"/>
      <c r="QQB32" s="672"/>
      <c r="QQC32" s="672"/>
      <c r="QQD32" s="672"/>
      <c r="QQE32" s="672"/>
      <c r="QQF32" s="672"/>
      <c r="QQG32" s="672"/>
      <c r="QQH32" s="672"/>
      <c r="QQI32" s="672"/>
      <c r="QQJ32" s="672"/>
      <c r="QQK32" s="672"/>
      <c r="QQL32" s="672"/>
      <c r="QQM32" s="672"/>
      <c r="QQN32" s="672"/>
      <c r="QQO32" s="672"/>
      <c r="QQP32" s="672"/>
      <c r="QQQ32" s="672"/>
      <c r="QQR32" s="672"/>
      <c r="QQS32" s="672"/>
      <c r="QQT32" s="672"/>
      <c r="QQU32" s="672"/>
      <c r="QQV32" s="672"/>
      <c r="QQW32" s="672"/>
      <c r="QQX32" s="672"/>
      <c r="QQY32" s="672"/>
      <c r="QQZ32" s="672"/>
      <c r="QRA32" s="672"/>
      <c r="QRB32" s="672"/>
      <c r="QRC32" s="672"/>
      <c r="QRD32" s="672"/>
      <c r="QRE32" s="672"/>
      <c r="QRF32" s="672"/>
      <c r="QRG32" s="672"/>
      <c r="QRH32" s="672"/>
      <c r="QRI32" s="672"/>
      <c r="QRJ32" s="672"/>
      <c r="QRK32" s="672"/>
      <c r="QRL32" s="672"/>
      <c r="QRM32" s="672"/>
      <c r="QRN32" s="672"/>
      <c r="QRO32" s="672"/>
      <c r="QRP32" s="672"/>
      <c r="QRQ32" s="672"/>
      <c r="QRR32" s="672"/>
      <c r="QRS32" s="672"/>
      <c r="QRT32" s="672"/>
      <c r="QRU32" s="672"/>
      <c r="QRV32" s="672"/>
      <c r="QRW32" s="672"/>
      <c r="QRX32" s="672"/>
      <c r="QRY32" s="672"/>
      <c r="QRZ32" s="672"/>
      <c r="QSA32" s="672"/>
      <c r="QSB32" s="672"/>
      <c r="QSC32" s="672"/>
      <c r="QSD32" s="672"/>
      <c r="QSE32" s="672"/>
      <c r="QSF32" s="672"/>
      <c r="QSG32" s="672"/>
      <c r="QSH32" s="672"/>
      <c r="QSI32" s="672"/>
      <c r="QSJ32" s="672"/>
      <c r="QSK32" s="672"/>
      <c r="QSL32" s="672"/>
      <c r="QSM32" s="672"/>
      <c r="QSN32" s="672"/>
      <c r="QSO32" s="672"/>
      <c r="QSP32" s="672"/>
      <c r="QSQ32" s="672"/>
      <c r="QSR32" s="672"/>
      <c r="QSS32" s="672"/>
      <c r="QST32" s="672"/>
      <c r="QSU32" s="672"/>
      <c r="QSV32" s="672"/>
      <c r="QSW32" s="672"/>
      <c r="QSX32" s="672"/>
      <c r="QSY32" s="672"/>
      <c r="QSZ32" s="672"/>
      <c r="QTA32" s="672"/>
      <c r="QTB32" s="672"/>
      <c r="QTC32" s="672"/>
      <c r="QTD32" s="672"/>
      <c r="QTE32" s="672"/>
      <c r="QTF32" s="672"/>
      <c r="QTG32" s="672"/>
      <c r="QTH32" s="672"/>
      <c r="QTI32" s="672"/>
      <c r="QTJ32" s="672"/>
      <c r="QTK32" s="672"/>
      <c r="QTL32" s="672"/>
      <c r="QTM32" s="672"/>
      <c r="QTN32" s="672"/>
      <c r="QTO32" s="672"/>
      <c r="QTP32" s="672"/>
      <c r="QTQ32" s="672"/>
      <c r="QTR32" s="672"/>
      <c r="QTS32" s="672"/>
      <c r="QTT32" s="672"/>
      <c r="QTU32" s="672"/>
      <c r="QTV32" s="672"/>
      <c r="QTW32" s="672"/>
      <c r="QTX32" s="672"/>
      <c r="QTY32" s="672"/>
      <c r="QTZ32" s="672"/>
      <c r="QUA32" s="672"/>
      <c r="QUB32" s="672"/>
      <c r="QUC32" s="672"/>
      <c r="QUD32" s="672"/>
      <c r="QUE32" s="672"/>
      <c r="QUF32" s="672"/>
      <c r="QUG32" s="672"/>
      <c r="QUH32" s="672"/>
      <c r="QUI32" s="672"/>
      <c r="QUJ32" s="672"/>
      <c r="QUK32" s="672"/>
      <c r="QUL32" s="672"/>
      <c r="QUM32" s="672"/>
      <c r="QUN32" s="672"/>
      <c r="QUO32" s="672"/>
      <c r="QUP32" s="672"/>
      <c r="QUQ32" s="672"/>
      <c r="QUR32" s="672"/>
      <c r="QUS32" s="672"/>
      <c r="QUT32" s="672"/>
      <c r="QUU32" s="672"/>
      <c r="QUV32" s="672"/>
      <c r="QUW32" s="672"/>
      <c r="QUX32" s="672"/>
      <c r="QUY32" s="672"/>
      <c r="QUZ32" s="672"/>
      <c r="QVA32" s="672"/>
      <c r="QVB32" s="672"/>
      <c r="QVC32" s="672"/>
      <c r="QVD32" s="672"/>
      <c r="QVE32" s="672"/>
      <c r="QVF32" s="672"/>
      <c r="QVG32" s="672"/>
      <c r="QVH32" s="672"/>
      <c r="QVI32" s="672"/>
      <c r="QVJ32" s="672"/>
      <c r="QVK32" s="672"/>
      <c r="QVL32" s="672"/>
      <c r="QVM32" s="672"/>
      <c r="QVN32" s="672"/>
      <c r="QVO32" s="672"/>
      <c r="QVP32" s="672"/>
      <c r="QVQ32" s="672"/>
      <c r="QVR32" s="672"/>
      <c r="QVS32" s="672"/>
      <c r="QVT32" s="672"/>
      <c r="QVU32" s="672"/>
      <c r="QVV32" s="672"/>
      <c r="QVW32" s="672"/>
      <c r="QVX32" s="672"/>
      <c r="QVY32" s="672"/>
      <c r="QVZ32" s="672"/>
      <c r="QWA32" s="672"/>
      <c r="QWB32" s="672"/>
      <c r="QWC32" s="672"/>
      <c r="QWD32" s="672"/>
      <c r="QWE32" s="672"/>
      <c r="QWF32" s="672"/>
      <c r="QWG32" s="672"/>
      <c r="QWH32" s="672"/>
      <c r="QWI32" s="672"/>
      <c r="QWJ32" s="672"/>
      <c r="QWK32" s="672"/>
      <c r="QWL32" s="672"/>
      <c r="QWM32" s="672"/>
      <c r="QWN32" s="672"/>
      <c r="QWO32" s="672"/>
      <c r="QWP32" s="672"/>
      <c r="QWQ32" s="672"/>
      <c r="QWR32" s="672"/>
      <c r="QWS32" s="672"/>
      <c r="QWT32" s="672"/>
      <c r="QWU32" s="672"/>
      <c r="QWV32" s="672"/>
      <c r="QWW32" s="672"/>
      <c r="QWX32" s="672"/>
      <c r="QWY32" s="672"/>
      <c r="QWZ32" s="672"/>
      <c r="QXA32" s="672"/>
      <c r="QXB32" s="672"/>
      <c r="QXC32" s="672"/>
      <c r="QXD32" s="672"/>
      <c r="QXE32" s="672"/>
      <c r="QXF32" s="672"/>
      <c r="QXG32" s="672"/>
      <c r="QXH32" s="672"/>
      <c r="QXI32" s="672"/>
      <c r="QXJ32" s="672"/>
      <c r="QXK32" s="672"/>
      <c r="QXL32" s="672"/>
      <c r="QXM32" s="672"/>
      <c r="QXN32" s="672"/>
      <c r="QXO32" s="672"/>
      <c r="QXP32" s="672"/>
      <c r="QXQ32" s="672"/>
      <c r="QXR32" s="672"/>
      <c r="QXS32" s="672"/>
      <c r="QXT32" s="672"/>
      <c r="QXU32" s="672"/>
      <c r="QXV32" s="672"/>
      <c r="QXW32" s="672"/>
      <c r="QXX32" s="672"/>
      <c r="QXY32" s="672"/>
      <c r="QXZ32" s="672"/>
      <c r="QYA32" s="672"/>
      <c r="QYB32" s="672"/>
      <c r="QYC32" s="672"/>
      <c r="QYD32" s="672"/>
      <c r="QYE32" s="672"/>
      <c r="QYF32" s="672"/>
      <c r="QYG32" s="672"/>
      <c r="QYH32" s="672"/>
      <c r="QYI32" s="672"/>
      <c r="QYJ32" s="672"/>
      <c r="QYK32" s="672"/>
      <c r="QYL32" s="672"/>
      <c r="QYM32" s="672"/>
      <c r="QYN32" s="672"/>
      <c r="QYO32" s="672"/>
      <c r="QYP32" s="672"/>
      <c r="QYQ32" s="672"/>
      <c r="QYR32" s="672"/>
      <c r="QYS32" s="672"/>
      <c r="QYT32" s="672"/>
      <c r="QYU32" s="672"/>
      <c r="QYV32" s="672"/>
      <c r="QYW32" s="672"/>
      <c r="QYX32" s="672"/>
      <c r="QYY32" s="672"/>
      <c r="QYZ32" s="672"/>
      <c r="QZA32" s="672"/>
      <c r="QZB32" s="672"/>
      <c r="QZC32" s="672"/>
      <c r="QZD32" s="672"/>
      <c r="QZE32" s="672"/>
      <c r="QZF32" s="672"/>
      <c r="QZG32" s="672"/>
      <c r="QZH32" s="672"/>
      <c r="QZI32" s="672"/>
      <c r="QZJ32" s="672"/>
      <c r="QZK32" s="672"/>
      <c r="QZL32" s="672"/>
      <c r="QZM32" s="672"/>
      <c r="QZN32" s="672"/>
      <c r="QZO32" s="672"/>
      <c r="QZP32" s="672"/>
      <c r="QZQ32" s="672"/>
      <c r="QZR32" s="672"/>
      <c r="QZS32" s="672"/>
      <c r="QZT32" s="672"/>
      <c r="QZU32" s="672"/>
      <c r="QZV32" s="672"/>
      <c r="QZW32" s="672"/>
      <c r="QZX32" s="672"/>
      <c r="QZY32" s="672"/>
      <c r="QZZ32" s="672"/>
      <c r="RAA32" s="672"/>
      <c r="RAB32" s="672"/>
      <c r="RAC32" s="672"/>
      <c r="RAD32" s="672"/>
      <c r="RAE32" s="672"/>
      <c r="RAF32" s="672"/>
      <c r="RAG32" s="672"/>
      <c r="RAH32" s="672"/>
      <c r="RAI32" s="672"/>
      <c r="RAJ32" s="672"/>
      <c r="RAK32" s="672"/>
      <c r="RAL32" s="672"/>
      <c r="RAM32" s="672"/>
      <c r="RAN32" s="672"/>
      <c r="RAO32" s="672"/>
      <c r="RAP32" s="672"/>
      <c r="RAQ32" s="672"/>
      <c r="RAR32" s="672"/>
      <c r="RAS32" s="672"/>
      <c r="RAT32" s="672"/>
      <c r="RAU32" s="672"/>
      <c r="RAV32" s="672"/>
      <c r="RAW32" s="672"/>
      <c r="RAX32" s="672"/>
      <c r="RAY32" s="672"/>
      <c r="RAZ32" s="672"/>
      <c r="RBA32" s="672"/>
      <c r="RBB32" s="672"/>
      <c r="RBC32" s="672"/>
      <c r="RBD32" s="672"/>
      <c r="RBE32" s="672"/>
      <c r="RBF32" s="672"/>
      <c r="RBG32" s="672"/>
      <c r="RBH32" s="672"/>
      <c r="RBI32" s="672"/>
      <c r="RBJ32" s="672"/>
      <c r="RBK32" s="672"/>
      <c r="RBL32" s="672"/>
      <c r="RBM32" s="672"/>
      <c r="RBN32" s="672"/>
      <c r="RBO32" s="672"/>
      <c r="RBP32" s="672"/>
      <c r="RBQ32" s="672"/>
      <c r="RBR32" s="672"/>
      <c r="RBS32" s="672"/>
      <c r="RBT32" s="672"/>
      <c r="RBU32" s="672"/>
      <c r="RBV32" s="672"/>
      <c r="RBW32" s="672"/>
      <c r="RBX32" s="672"/>
      <c r="RBY32" s="672"/>
      <c r="RBZ32" s="672"/>
      <c r="RCA32" s="672"/>
      <c r="RCB32" s="672"/>
      <c r="RCC32" s="672"/>
      <c r="RCD32" s="672"/>
      <c r="RCE32" s="672"/>
      <c r="RCF32" s="672"/>
      <c r="RCG32" s="672"/>
      <c r="RCH32" s="672"/>
      <c r="RCI32" s="672"/>
      <c r="RCJ32" s="672"/>
      <c r="RCK32" s="672"/>
      <c r="RCL32" s="672"/>
      <c r="RCM32" s="672"/>
      <c r="RCN32" s="672"/>
      <c r="RCO32" s="672"/>
      <c r="RCP32" s="672"/>
      <c r="RCQ32" s="672"/>
      <c r="RCR32" s="672"/>
      <c r="RCS32" s="672"/>
      <c r="RCT32" s="672"/>
      <c r="RCU32" s="672"/>
      <c r="RCV32" s="672"/>
      <c r="RCW32" s="672"/>
      <c r="RCX32" s="672"/>
      <c r="RCY32" s="672"/>
      <c r="RCZ32" s="672"/>
      <c r="RDA32" s="672"/>
      <c r="RDB32" s="672"/>
      <c r="RDC32" s="672"/>
      <c r="RDD32" s="672"/>
      <c r="RDE32" s="672"/>
      <c r="RDF32" s="672"/>
      <c r="RDG32" s="672"/>
      <c r="RDH32" s="672"/>
      <c r="RDI32" s="672"/>
      <c r="RDJ32" s="672"/>
      <c r="RDK32" s="672"/>
      <c r="RDL32" s="672"/>
      <c r="RDM32" s="672"/>
      <c r="RDN32" s="672"/>
      <c r="RDO32" s="672"/>
      <c r="RDP32" s="672"/>
      <c r="RDQ32" s="672"/>
      <c r="RDR32" s="672"/>
      <c r="RDS32" s="672"/>
      <c r="RDT32" s="672"/>
      <c r="RDU32" s="672"/>
      <c r="RDV32" s="672"/>
      <c r="RDW32" s="672"/>
      <c r="RDX32" s="672"/>
      <c r="RDY32" s="672"/>
      <c r="RDZ32" s="672"/>
      <c r="REA32" s="672"/>
      <c r="REB32" s="672"/>
      <c r="REC32" s="672"/>
      <c r="RED32" s="672"/>
      <c r="REE32" s="672"/>
      <c r="REF32" s="672"/>
      <c r="REG32" s="672"/>
      <c r="REH32" s="672"/>
      <c r="REI32" s="672"/>
      <c r="REJ32" s="672"/>
      <c r="REK32" s="672"/>
      <c r="REL32" s="672"/>
      <c r="REM32" s="672"/>
      <c r="REN32" s="672"/>
      <c r="REO32" s="672"/>
      <c r="REP32" s="672"/>
      <c r="REQ32" s="672"/>
      <c r="RER32" s="672"/>
      <c r="RES32" s="672"/>
      <c r="RET32" s="672"/>
      <c r="REU32" s="672"/>
      <c r="REV32" s="672"/>
      <c r="REW32" s="672"/>
      <c r="REX32" s="672"/>
      <c r="REY32" s="672"/>
      <c r="REZ32" s="672"/>
      <c r="RFA32" s="672"/>
      <c r="RFB32" s="672"/>
      <c r="RFC32" s="672"/>
      <c r="RFD32" s="672"/>
      <c r="RFE32" s="672"/>
      <c r="RFF32" s="672"/>
      <c r="RFG32" s="672"/>
      <c r="RFH32" s="672"/>
      <c r="RFI32" s="672"/>
      <c r="RFJ32" s="672"/>
      <c r="RFK32" s="672"/>
      <c r="RFL32" s="672"/>
      <c r="RFM32" s="672"/>
      <c r="RFN32" s="672"/>
      <c r="RFO32" s="672"/>
      <c r="RFP32" s="672"/>
      <c r="RFQ32" s="672"/>
      <c r="RFR32" s="672"/>
      <c r="RFS32" s="672"/>
      <c r="RFT32" s="672"/>
      <c r="RFU32" s="672"/>
      <c r="RFV32" s="672"/>
      <c r="RFW32" s="672"/>
      <c r="RFX32" s="672"/>
      <c r="RFY32" s="672"/>
      <c r="RFZ32" s="672"/>
      <c r="RGA32" s="672"/>
      <c r="RGB32" s="672"/>
      <c r="RGC32" s="672"/>
      <c r="RGD32" s="672"/>
      <c r="RGE32" s="672"/>
      <c r="RGF32" s="672"/>
      <c r="RGG32" s="672"/>
      <c r="RGH32" s="672"/>
      <c r="RGI32" s="672"/>
      <c r="RGJ32" s="672"/>
      <c r="RGK32" s="672"/>
      <c r="RGL32" s="672"/>
      <c r="RGM32" s="672"/>
      <c r="RGN32" s="672"/>
      <c r="RGO32" s="672"/>
      <c r="RGP32" s="672"/>
      <c r="RGQ32" s="672"/>
      <c r="RGR32" s="672"/>
      <c r="RGS32" s="672"/>
      <c r="RGT32" s="672"/>
      <c r="RGU32" s="672"/>
      <c r="RGV32" s="672"/>
      <c r="RGW32" s="672"/>
      <c r="RGX32" s="672"/>
      <c r="RGY32" s="672"/>
      <c r="RGZ32" s="672"/>
      <c r="RHA32" s="672"/>
      <c r="RHB32" s="672"/>
      <c r="RHC32" s="672"/>
      <c r="RHD32" s="672"/>
      <c r="RHE32" s="672"/>
      <c r="RHF32" s="672"/>
      <c r="RHG32" s="672"/>
      <c r="RHH32" s="672"/>
      <c r="RHI32" s="672"/>
      <c r="RHJ32" s="672"/>
      <c r="RHK32" s="672"/>
      <c r="RHL32" s="672"/>
      <c r="RHM32" s="672"/>
      <c r="RHN32" s="672"/>
      <c r="RHO32" s="672"/>
      <c r="RHP32" s="672"/>
      <c r="RHQ32" s="672"/>
      <c r="RHR32" s="672"/>
      <c r="RHS32" s="672"/>
      <c r="RHT32" s="672"/>
      <c r="RHU32" s="672"/>
      <c r="RHV32" s="672"/>
      <c r="RHW32" s="672"/>
      <c r="RHX32" s="672"/>
      <c r="RHY32" s="672"/>
      <c r="RHZ32" s="672"/>
      <c r="RIA32" s="672"/>
      <c r="RIB32" s="672"/>
      <c r="RIC32" s="672"/>
      <c r="RID32" s="672"/>
      <c r="RIE32" s="672"/>
      <c r="RIF32" s="672"/>
      <c r="RIG32" s="672"/>
      <c r="RIH32" s="672"/>
      <c r="RII32" s="672"/>
      <c r="RIJ32" s="672"/>
      <c r="RIK32" s="672"/>
      <c r="RIL32" s="672"/>
      <c r="RIM32" s="672"/>
      <c r="RIN32" s="672"/>
      <c r="RIO32" s="672"/>
      <c r="RIP32" s="672"/>
      <c r="RIQ32" s="672"/>
      <c r="RIR32" s="672"/>
      <c r="RIS32" s="672"/>
      <c r="RIT32" s="672"/>
      <c r="RIU32" s="672"/>
      <c r="RIV32" s="672"/>
      <c r="RIW32" s="672"/>
      <c r="RIX32" s="672"/>
      <c r="RIY32" s="672"/>
      <c r="RIZ32" s="672"/>
      <c r="RJA32" s="672"/>
      <c r="RJB32" s="672"/>
      <c r="RJC32" s="672"/>
      <c r="RJD32" s="672"/>
      <c r="RJE32" s="672"/>
      <c r="RJF32" s="672"/>
      <c r="RJG32" s="672"/>
      <c r="RJH32" s="672"/>
      <c r="RJI32" s="672"/>
      <c r="RJJ32" s="672"/>
      <c r="RJK32" s="672"/>
      <c r="RJL32" s="672"/>
      <c r="RJM32" s="672"/>
      <c r="RJN32" s="672"/>
      <c r="RJO32" s="672"/>
      <c r="RJP32" s="672"/>
      <c r="RJQ32" s="672"/>
      <c r="RJR32" s="672"/>
      <c r="RJS32" s="672"/>
      <c r="RJT32" s="672"/>
      <c r="RJU32" s="672"/>
      <c r="RJV32" s="672"/>
      <c r="RJW32" s="672"/>
      <c r="RJX32" s="672"/>
      <c r="RJY32" s="672"/>
      <c r="RJZ32" s="672"/>
      <c r="RKA32" s="672"/>
      <c r="RKB32" s="672"/>
      <c r="RKC32" s="672"/>
      <c r="RKD32" s="672"/>
      <c r="RKE32" s="672"/>
      <c r="RKF32" s="672"/>
      <c r="RKG32" s="672"/>
      <c r="RKH32" s="672"/>
      <c r="RKI32" s="672"/>
      <c r="RKJ32" s="672"/>
      <c r="RKK32" s="672"/>
      <c r="RKL32" s="672"/>
      <c r="RKM32" s="672"/>
      <c r="RKN32" s="672"/>
      <c r="RKO32" s="672"/>
      <c r="RKP32" s="672"/>
      <c r="RKQ32" s="672"/>
      <c r="RKR32" s="672"/>
      <c r="RKS32" s="672"/>
      <c r="RKT32" s="672"/>
      <c r="RKU32" s="672"/>
      <c r="RKV32" s="672"/>
      <c r="RKW32" s="672"/>
      <c r="RKX32" s="672"/>
      <c r="RKY32" s="672"/>
      <c r="RKZ32" s="672"/>
      <c r="RLA32" s="672"/>
      <c r="RLB32" s="672"/>
      <c r="RLC32" s="672"/>
      <c r="RLD32" s="672"/>
      <c r="RLE32" s="672"/>
      <c r="RLF32" s="672"/>
      <c r="RLG32" s="672"/>
      <c r="RLH32" s="672"/>
      <c r="RLI32" s="672"/>
      <c r="RLJ32" s="672"/>
      <c r="RLK32" s="672"/>
      <c r="RLL32" s="672"/>
      <c r="RLM32" s="672"/>
      <c r="RLN32" s="672"/>
      <c r="RLO32" s="672"/>
      <c r="RLP32" s="672"/>
      <c r="RLQ32" s="672"/>
      <c r="RLR32" s="672"/>
      <c r="RLS32" s="672"/>
      <c r="RLT32" s="672"/>
      <c r="RLU32" s="672"/>
      <c r="RLV32" s="672"/>
      <c r="RLW32" s="672"/>
      <c r="RLX32" s="672"/>
      <c r="RLY32" s="672"/>
      <c r="RLZ32" s="672"/>
      <c r="RMA32" s="672"/>
      <c r="RMB32" s="672"/>
      <c r="RMC32" s="672"/>
      <c r="RMD32" s="672"/>
      <c r="RME32" s="672"/>
      <c r="RMF32" s="672"/>
      <c r="RMG32" s="672"/>
      <c r="RMH32" s="672"/>
      <c r="RMI32" s="672"/>
      <c r="RMJ32" s="672"/>
      <c r="RMK32" s="672"/>
      <c r="RML32" s="672"/>
      <c r="RMM32" s="672"/>
      <c r="RMN32" s="672"/>
      <c r="RMO32" s="672"/>
      <c r="RMP32" s="672"/>
      <c r="RMQ32" s="672"/>
      <c r="RMR32" s="672"/>
      <c r="RMS32" s="672"/>
      <c r="RMT32" s="672"/>
      <c r="RMU32" s="672"/>
      <c r="RMV32" s="672"/>
      <c r="RMW32" s="672"/>
      <c r="RMX32" s="672"/>
      <c r="RMY32" s="672"/>
      <c r="RMZ32" s="672"/>
      <c r="RNA32" s="672"/>
      <c r="RNB32" s="672"/>
      <c r="RNC32" s="672"/>
      <c r="RND32" s="672"/>
      <c r="RNE32" s="672"/>
      <c r="RNF32" s="672"/>
      <c r="RNG32" s="672"/>
      <c r="RNH32" s="672"/>
      <c r="RNI32" s="672"/>
      <c r="RNJ32" s="672"/>
      <c r="RNK32" s="672"/>
      <c r="RNL32" s="672"/>
      <c r="RNM32" s="672"/>
      <c r="RNN32" s="672"/>
      <c r="RNO32" s="672"/>
      <c r="RNP32" s="672"/>
      <c r="RNQ32" s="672"/>
      <c r="RNR32" s="672"/>
      <c r="RNS32" s="672"/>
      <c r="RNT32" s="672"/>
      <c r="RNU32" s="672"/>
      <c r="RNV32" s="672"/>
      <c r="RNW32" s="672"/>
      <c r="RNX32" s="672"/>
      <c r="RNY32" s="672"/>
      <c r="RNZ32" s="672"/>
      <c r="ROA32" s="672"/>
      <c r="ROB32" s="672"/>
      <c r="ROC32" s="672"/>
      <c r="ROD32" s="672"/>
      <c r="ROE32" s="672"/>
      <c r="ROF32" s="672"/>
      <c r="ROG32" s="672"/>
      <c r="ROH32" s="672"/>
      <c r="ROI32" s="672"/>
      <c r="ROJ32" s="672"/>
      <c r="ROK32" s="672"/>
      <c r="ROL32" s="672"/>
      <c r="ROM32" s="672"/>
      <c r="RON32" s="672"/>
      <c r="ROO32" s="672"/>
      <c r="ROP32" s="672"/>
      <c r="ROQ32" s="672"/>
      <c r="ROR32" s="672"/>
      <c r="ROS32" s="672"/>
      <c r="ROT32" s="672"/>
      <c r="ROU32" s="672"/>
      <c r="ROV32" s="672"/>
      <c r="ROW32" s="672"/>
      <c r="ROX32" s="672"/>
      <c r="ROY32" s="672"/>
      <c r="ROZ32" s="672"/>
      <c r="RPA32" s="672"/>
      <c r="RPB32" s="672"/>
      <c r="RPC32" s="672"/>
      <c r="RPD32" s="672"/>
      <c r="RPE32" s="672"/>
      <c r="RPF32" s="672"/>
      <c r="RPG32" s="672"/>
      <c r="RPH32" s="672"/>
      <c r="RPI32" s="672"/>
      <c r="RPJ32" s="672"/>
      <c r="RPK32" s="672"/>
      <c r="RPL32" s="672"/>
      <c r="RPM32" s="672"/>
      <c r="RPN32" s="672"/>
      <c r="RPO32" s="672"/>
      <c r="RPP32" s="672"/>
      <c r="RPQ32" s="672"/>
      <c r="RPR32" s="672"/>
      <c r="RPS32" s="672"/>
      <c r="RPT32" s="672"/>
      <c r="RPU32" s="672"/>
      <c r="RPV32" s="672"/>
      <c r="RPW32" s="672"/>
      <c r="RPX32" s="672"/>
      <c r="RPY32" s="672"/>
      <c r="RPZ32" s="672"/>
      <c r="RQA32" s="672"/>
      <c r="RQB32" s="672"/>
      <c r="RQC32" s="672"/>
      <c r="RQD32" s="672"/>
      <c r="RQE32" s="672"/>
      <c r="RQF32" s="672"/>
      <c r="RQG32" s="672"/>
      <c r="RQH32" s="672"/>
      <c r="RQI32" s="672"/>
      <c r="RQJ32" s="672"/>
      <c r="RQK32" s="672"/>
      <c r="RQL32" s="672"/>
      <c r="RQM32" s="672"/>
      <c r="RQN32" s="672"/>
      <c r="RQO32" s="672"/>
      <c r="RQP32" s="672"/>
      <c r="RQQ32" s="672"/>
      <c r="RQR32" s="672"/>
      <c r="RQS32" s="672"/>
      <c r="RQT32" s="672"/>
      <c r="RQU32" s="672"/>
      <c r="RQV32" s="672"/>
      <c r="RQW32" s="672"/>
      <c r="RQX32" s="672"/>
      <c r="RQY32" s="672"/>
      <c r="RQZ32" s="672"/>
      <c r="RRA32" s="672"/>
      <c r="RRB32" s="672"/>
      <c r="RRC32" s="672"/>
      <c r="RRD32" s="672"/>
      <c r="RRE32" s="672"/>
      <c r="RRF32" s="672"/>
      <c r="RRG32" s="672"/>
      <c r="RRH32" s="672"/>
      <c r="RRI32" s="672"/>
      <c r="RRJ32" s="672"/>
      <c r="RRK32" s="672"/>
      <c r="RRL32" s="672"/>
      <c r="RRM32" s="672"/>
      <c r="RRN32" s="672"/>
      <c r="RRO32" s="672"/>
      <c r="RRP32" s="672"/>
      <c r="RRQ32" s="672"/>
      <c r="RRR32" s="672"/>
      <c r="RRS32" s="672"/>
      <c r="RRT32" s="672"/>
      <c r="RRU32" s="672"/>
      <c r="RRV32" s="672"/>
      <c r="RRW32" s="672"/>
      <c r="RRX32" s="672"/>
      <c r="RRY32" s="672"/>
      <c r="RRZ32" s="672"/>
      <c r="RSA32" s="672"/>
      <c r="RSB32" s="672"/>
      <c r="RSC32" s="672"/>
      <c r="RSD32" s="672"/>
      <c r="RSE32" s="672"/>
      <c r="RSF32" s="672"/>
      <c r="RSG32" s="672"/>
      <c r="RSH32" s="672"/>
      <c r="RSI32" s="672"/>
      <c r="RSJ32" s="672"/>
      <c r="RSK32" s="672"/>
      <c r="RSL32" s="672"/>
      <c r="RSM32" s="672"/>
      <c r="RSN32" s="672"/>
      <c r="RSO32" s="672"/>
      <c r="RSP32" s="672"/>
      <c r="RSQ32" s="672"/>
      <c r="RSR32" s="672"/>
      <c r="RSS32" s="672"/>
      <c r="RST32" s="672"/>
      <c r="RSU32" s="672"/>
      <c r="RSV32" s="672"/>
      <c r="RSW32" s="672"/>
      <c r="RSX32" s="672"/>
      <c r="RSY32" s="672"/>
      <c r="RSZ32" s="672"/>
      <c r="RTA32" s="672"/>
      <c r="RTB32" s="672"/>
      <c r="RTC32" s="672"/>
      <c r="RTD32" s="672"/>
      <c r="RTE32" s="672"/>
      <c r="RTF32" s="672"/>
      <c r="RTG32" s="672"/>
      <c r="RTH32" s="672"/>
      <c r="RTI32" s="672"/>
      <c r="RTJ32" s="672"/>
      <c r="RTK32" s="672"/>
      <c r="RTL32" s="672"/>
      <c r="RTM32" s="672"/>
      <c r="RTN32" s="672"/>
      <c r="RTO32" s="672"/>
      <c r="RTP32" s="672"/>
      <c r="RTQ32" s="672"/>
      <c r="RTR32" s="672"/>
      <c r="RTS32" s="672"/>
      <c r="RTT32" s="672"/>
      <c r="RTU32" s="672"/>
      <c r="RTV32" s="672"/>
      <c r="RTW32" s="672"/>
      <c r="RTX32" s="672"/>
      <c r="RTY32" s="672"/>
      <c r="RTZ32" s="672"/>
      <c r="RUA32" s="672"/>
      <c r="RUB32" s="672"/>
      <c r="RUC32" s="672"/>
      <c r="RUD32" s="672"/>
      <c r="RUE32" s="672"/>
      <c r="RUF32" s="672"/>
      <c r="RUG32" s="672"/>
      <c r="RUH32" s="672"/>
      <c r="RUI32" s="672"/>
      <c r="RUJ32" s="672"/>
      <c r="RUK32" s="672"/>
      <c r="RUL32" s="672"/>
      <c r="RUM32" s="672"/>
      <c r="RUN32" s="672"/>
      <c r="RUO32" s="672"/>
      <c r="RUP32" s="672"/>
      <c r="RUQ32" s="672"/>
      <c r="RUR32" s="672"/>
      <c r="RUS32" s="672"/>
      <c r="RUT32" s="672"/>
      <c r="RUU32" s="672"/>
      <c r="RUV32" s="672"/>
      <c r="RUW32" s="672"/>
      <c r="RUX32" s="672"/>
      <c r="RUY32" s="672"/>
      <c r="RUZ32" s="672"/>
      <c r="RVA32" s="672"/>
      <c r="RVB32" s="672"/>
      <c r="RVC32" s="672"/>
      <c r="RVD32" s="672"/>
      <c r="RVE32" s="672"/>
      <c r="RVF32" s="672"/>
      <c r="RVG32" s="672"/>
      <c r="RVH32" s="672"/>
      <c r="RVI32" s="672"/>
      <c r="RVJ32" s="672"/>
      <c r="RVK32" s="672"/>
      <c r="RVL32" s="672"/>
      <c r="RVM32" s="672"/>
      <c r="RVN32" s="672"/>
      <c r="RVO32" s="672"/>
      <c r="RVP32" s="672"/>
      <c r="RVQ32" s="672"/>
      <c r="RVR32" s="672"/>
      <c r="RVS32" s="672"/>
      <c r="RVT32" s="672"/>
      <c r="RVU32" s="672"/>
      <c r="RVV32" s="672"/>
      <c r="RVW32" s="672"/>
      <c r="RVX32" s="672"/>
      <c r="RVY32" s="672"/>
      <c r="RVZ32" s="672"/>
      <c r="RWA32" s="672"/>
      <c r="RWB32" s="672"/>
      <c r="RWC32" s="672"/>
      <c r="RWD32" s="672"/>
      <c r="RWE32" s="672"/>
      <c r="RWF32" s="672"/>
      <c r="RWG32" s="672"/>
      <c r="RWH32" s="672"/>
      <c r="RWI32" s="672"/>
      <c r="RWJ32" s="672"/>
      <c r="RWK32" s="672"/>
      <c r="RWL32" s="672"/>
      <c r="RWM32" s="672"/>
      <c r="RWN32" s="672"/>
      <c r="RWO32" s="672"/>
      <c r="RWP32" s="672"/>
      <c r="RWQ32" s="672"/>
      <c r="RWR32" s="672"/>
      <c r="RWS32" s="672"/>
      <c r="RWT32" s="672"/>
      <c r="RWU32" s="672"/>
      <c r="RWV32" s="672"/>
      <c r="RWW32" s="672"/>
      <c r="RWX32" s="672"/>
      <c r="RWY32" s="672"/>
      <c r="RWZ32" s="672"/>
      <c r="RXA32" s="672"/>
      <c r="RXB32" s="672"/>
      <c r="RXC32" s="672"/>
      <c r="RXD32" s="672"/>
      <c r="RXE32" s="672"/>
      <c r="RXF32" s="672"/>
      <c r="RXG32" s="672"/>
      <c r="RXH32" s="672"/>
      <c r="RXI32" s="672"/>
      <c r="RXJ32" s="672"/>
      <c r="RXK32" s="672"/>
      <c r="RXL32" s="672"/>
      <c r="RXM32" s="672"/>
      <c r="RXN32" s="672"/>
      <c r="RXO32" s="672"/>
      <c r="RXP32" s="672"/>
      <c r="RXQ32" s="672"/>
      <c r="RXR32" s="672"/>
      <c r="RXS32" s="672"/>
      <c r="RXT32" s="672"/>
      <c r="RXU32" s="672"/>
      <c r="RXV32" s="672"/>
      <c r="RXW32" s="672"/>
      <c r="RXX32" s="672"/>
      <c r="RXY32" s="672"/>
      <c r="RXZ32" s="672"/>
      <c r="RYA32" s="672"/>
      <c r="RYB32" s="672"/>
      <c r="RYC32" s="672"/>
      <c r="RYD32" s="672"/>
      <c r="RYE32" s="672"/>
      <c r="RYF32" s="672"/>
      <c r="RYG32" s="672"/>
      <c r="RYH32" s="672"/>
      <c r="RYI32" s="672"/>
      <c r="RYJ32" s="672"/>
      <c r="RYK32" s="672"/>
      <c r="RYL32" s="672"/>
      <c r="RYM32" s="672"/>
      <c r="RYN32" s="672"/>
      <c r="RYO32" s="672"/>
      <c r="RYP32" s="672"/>
      <c r="RYQ32" s="672"/>
      <c r="RYR32" s="672"/>
      <c r="RYS32" s="672"/>
      <c r="RYT32" s="672"/>
      <c r="RYU32" s="672"/>
      <c r="RYV32" s="672"/>
      <c r="RYW32" s="672"/>
      <c r="RYX32" s="672"/>
      <c r="RYY32" s="672"/>
      <c r="RYZ32" s="672"/>
      <c r="RZA32" s="672"/>
      <c r="RZB32" s="672"/>
      <c r="RZC32" s="672"/>
      <c r="RZD32" s="672"/>
      <c r="RZE32" s="672"/>
      <c r="RZF32" s="672"/>
      <c r="RZG32" s="672"/>
      <c r="RZH32" s="672"/>
      <c r="RZI32" s="672"/>
      <c r="RZJ32" s="672"/>
      <c r="RZK32" s="672"/>
      <c r="RZL32" s="672"/>
      <c r="RZM32" s="672"/>
      <c r="RZN32" s="672"/>
      <c r="RZO32" s="672"/>
      <c r="RZP32" s="672"/>
      <c r="RZQ32" s="672"/>
      <c r="RZR32" s="672"/>
      <c r="RZS32" s="672"/>
      <c r="RZT32" s="672"/>
      <c r="RZU32" s="672"/>
      <c r="RZV32" s="672"/>
      <c r="RZW32" s="672"/>
      <c r="RZX32" s="672"/>
      <c r="RZY32" s="672"/>
      <c r="RZZ32" s="672"/>
      <c r="SAA32" s="672"/>
      <c r="SAB32" s="672"/>
      <c r="SAC32" s="672"/>
      <c r="SAD32" s="672"/>
      <c r="SAE32" s="672"/>
      <c r="SAF32" s="672"/>
      <c r="SAG32" s="672"/>
      <c r="SAH32" s="672"/>
      <c r="SAI32" s="672"/>
      <c r="SAJ32" s="672"/>
      <c r="SAK32" s="672"/>
      <c r="SAL32" s="672"/>
      <c r="SAM32" s="672"/>
      <c r="SAN32" s="672"/>
      <c r="SAO32" s="672"/>
      <c r="SAP32" s="672"/>
      <c r="SAQ32" s="672"/>
      <c r="SAR32" s="672"/>
      <c r="SAS32" s="672"/>
      <c r="SAT32" s="672"/>
      <c r="SAU32" s="672"/>
      <c r="SAV32" s="672"/>
      <c r="SAW32" s="672"/>
      <c r="SAX32" s="672"/>
      <c r="SAY32" s="672"/>
      <c r="SAZ32" s="672"/>
      <c r="SBA32" s="672"/>
      <c r="SBB32" s="672"/>
      <c r="SBC32" s="672"/>
      <c r="SBD32" s="672"/>
      <c r="SBE32" s="672"/>
      <c r="SBF32" s="672"/>
      <c r="SBG32" s="672"/>
      <c r="SBH32" s="672"/>
      <c r="SBI32" s="672"/>
      <c r="SBJ32" s="672"/>
      <c r="SBK32" s="672"/>
      <c r="SBL32" s="672"/>
      <c r="SBM32" s="672"/>
      <c r="SBN32" s="672"/>
      <c r="SBO32" s="672"/>
      <c r="SBP32" s="672"/>
      <c r="SBQ32" s="672"/>
      <c r="SBR32" s="672"/>
      <c r="SBS32" s="672"/>
      <c r="SBT32" s="672"/>
      <c r="SBU32" s="672"/>
      <c r="SBV32" s="672"/>
      <c r="SBW32" s="672"/>
      <c r="SBX32" s="672"/>
      <c r="SBY32" s="672"/>
      <c r="SBZ32" s="672"/>
      <c r="SCA32" s="672"/>
      <c r="SCB32" s="672"/>
      <c r="SCC32" s="672"/>
      <c r="SCD32" s="672"/>
      <c r="SCE32" s="672"/>
      <c r="SCF32" s="672"/>
      <c r="SCG32" s="672"/>
      <c r="SCH32" s="672"/>
      <c r="SCI32" s="672"/>
      <c r="SCJ32" s="672"/>
      <c r="SCK32" s="672"/>
      <c r="SCL32" s="672"/>
      <c r="SCM32" s="672"/>
      <c r="SCN32" s="672"/>
      <c r="SCO32" s="672"/>
      <c r="SCP32" s="672"/>
      <c r="SCQ32" s="672"/>
      <c r="SCR32" s="672"/>
      <c r="SCS32" s="672"/>
      <c r="SCT32" s="672"/>
      <c r="SCU32" s="672"/>
      <c r="SCV32" s="672"/>
      <c r="SCW32" s="672"/>
      <c r="SCX32" s="672"/>
      <c r="SCY32" s="672"/>
      <c r="SCZ32" s="672"/>
      <c r="SDA32" s="672"/>
      <c r="SDB32" s="672"/>
      <c r="SDC32" s="672"/>
      <c r="SDD32" s="672"/>
      <c r="SDE32" s="672"/>
      <c r="SDF32" s="672"/>
      <c r="SDG32" s="672"/>
      <c r="SDH32" s="672"/>
      <c r="SDI32" s="672"/>
      <c r="SDJ32" s="672"/>
      <c r="SDK32" s="672"/>
      <c r="SDL32" s="672"/>
      <c r="SDM32" s="672"/>
      <c r="SDN32" s="672"/>
      <c r="SDO32" s="672"/>
      <c r="SDP32" s="672"/>
      <c r="SDQ32" s="672"/>
      <c r="SDR32" s="672"/>
      <c r="SDS32" s="672"/>
      <c r="SDT32" s="672"/>
      <c r="SDU32" s="672"/>
      <c r="SDV32" s="672"/>
      <c r="SDW32" s="672"/>
      <c r="SDX32" s="672"/>
      <c r="SDY32" s="672"/>
      <c r="SDZ32" s="672"/>
      <c r="SEA32" s="672"/>
      <c r="SEB32" s="672"/>
      <c r="SEC32" s="672"/>
      <c r="SED32" s="672"/>
      <c r="SEE32" s="672"/>
      <c r="SEF32" s="672"/>
      <c r="SEG32" s="672"/>
      <c r="SEH32" s="672"/>
      <c r="SEI32" s="672"/>
      <c r="SEJ32" s="672"/>
      <c r="SEK32" s="672"/>
      <c r="SEL32" s="672"/>
      <c r="SEM32" s="672"/>
      <c r="SEN32" s="672"/>
      <c r="SEO32" s="672"/>
      <c r="SEP32" s="672"/>
      <c r="SEQ32" s="672"/>
      <c r="SER32" s="672"/>
      <c r="SES32" s="672"/>
      <c r="SET32" s="672"/>
      <c r="SEU32" s="672"/>
      <c r="SEV32" s="672"/>
      <c r="SEW32" s="672"/>
      <c r="SEX32" s="672"/>
      <c r="SEY32" s="672"/>
      <c r="SEZ32" s="672"/>
      <c r="SFA32" s="672"/>
      <c r="SFB32" s="672"/>
      <c r="SFC32" s="672"/>
      <c r="SFD32" s="672"/>
      <c r="SFE32" s="672"/>
      <c r="SFF32" s="672"/>
      <c r="SFG32" s="672"/>
      <c r="SFH32" s="672"/>
      <c r="SFI32" s="672"/>
      <c r="SFJ32" s="672"/>
      <c r="SFK32" s="672"/>
      <c r="SFL32" s="672"/>
      <c r="SFM32" s="672"/>
      <c r="SFN32" s="672"/>
      <c r="SFO32" s="672"/>
      <c r="SFP32" s="672"/>
      <c r="SFQ32" s="672"/>
      <c r="SFR32" s="672"/>
      <c r="SFS32" s="672"/>
      <c r="SFT32" s="672"/>
      <c r="SFU32" s="672"/>
      <c r="SFV32" s="672"/>
      <c r="SFW32" s="672"/>
      <c r="SFX32" s="672"/>
      <c r="SFY32" s="672"/>
      <c r="SFZ32" s="672"/>
      <c r="SGA32" s="672"/>
      <c r="SGB32" s="672"/>
      <c r="SGC32" s="672"/>
      <c r="SGD32" s="672"/>
      <c r="SGE32" s="672"/>
      <c r="SGF32" s="672"/>
      <c r="SGG32" s="672"/>
      <c r="SGH32" s="672"/>
      <c r="SGI32" s="672"/>
      <c r="SGJ32" s="672"/>
      <c r="SGK32" s="672"/>
      <c r="SGL32" s="672"/>
      <c r="SGM32" s="672"/>
      <c r="SGN32" s="672"/>
      <c r="SGO32" s="672"/>
      <c r="SGP32" s="672"/>
      <c r="SGQ32" s="672"/>
      <c r="SGR32" s="672"/>
      <c r="SGS32" s="672"/>
      <c r="SGT32" s="672"/>
      <c r="SGU32" s="672"/>
      <c r="SGV32" s="672"/>
      <c r="SGW32" s="672"/>
      <c r="SGX32" s="672"/>
      <c r="SGY32" s="672"/>
      <c r="SGZ32" s="672"/>
      <c r="SHA32" s="672"/>
      <c r="SHB32" s="672"/>
      <c r="SHC32" s="672"/>
      <c r="SHD32" s="672"/>
      <c r="SHE32" s="672"/>
      <c r="SHF32" s="672"/>
      <c r="SHG32" s="672"/>
      <c r="SHH32" s="672"/>
      <c r="SHI32" s="672"/>
      <c r="SHJ32" s="672"/>
      <c r="SHK32" s="672"/>
      <c r="SHL32" s="672"/>
      <c r="SHM32" s="672"/>
      <c r="SHN32" s="672"/>
      <c r="SHO32" s="672"/>
      <c r="SHP32" s="672"/>
      <c r="SHQ32" s="672"/>
      <c r="SHR32" s="672"/>
      <c r="SHS32" s="672"/>
      <c r="SHT32" s="672"/>
      <c r="SHU32" s="672"/>
      <c r="SHV32" s="672"/>
      <c r="SHW32" s="672"/>
      <c r="SHX32" s="672"/>
      <c r="SHY32" s="672"/>
      <c r="SHZ32" s="672"/>
      <c r="SIA32" s="672"/>
      <c r="SIB32" s="672"/>
      <c r="SIC32" s="672"/>
      <c r="SID32" s="672"/>
      <c r="SIE32" s="672"/>
      <c r="SIF32" s="672"/>
      <c r="SIG32" s="672"/>
      <c r="SIH32" s="672"/>
      <c r="SII32" s="672"/>
      <c r="SIJ32" s="672"/>
      <c r="SIK32" s="672"/>
      <c r="SIL32" s="672"/>
      <c r="SIM32" s="672"/>
      <c r="SIN32" s="672"/>
      <c r="SIO32" s="672"/>
      <c r="SIP32" s="672"/>
      <c r="SIQ32" s="672"/>
      <c r="SIR32" s="672"/>
      <c r="SIS32" s="672"/>
      <c r="SIT32" s="672"/>
      <c r="SIU32" s="672"/>
      <c r="SIV32" s="672"/>
      <c r="SIW32" s="672"/>
      <c r="SIX32" s="672"/>
      <c r="SIY32" s="672"/>
      <c r="SIZ32" s="672"/>
      <c r="SJA32" s="672"/>
      <c r="SJB32" s="672"/>
      <c r="SJC32" s="672"/>
      <c r="SJD32" s="672"/>
      <c r="SJE32" s="672"/>
      <c r="SJF32" s="672"/>
      <c r="SJG32" s="672"/>
      <c r="SJH32" s="672"/>
      <c r="SJI32" s="672"/>
      <c r="SJJ32" s="672"/>
      <c r="SJK32" s="672"/>
      <c r="SJL32" s="672"/>
      <c r="SJM32" s="672"/>
      <c r="SJN32" s="672"/>
      <c r="SJO32" s="672"/>
      <c r="SJP32" s="672"/>
      <c r="SJQ32" s="672"/>
      <c r="SJR32" s="672"/>
      <c r="SJS32" s="672"/>
      <c r="SJT32" s="672"/>
      <c r="SJU32" s="672"/>
      <c r="SJV32" s="672"/>
      <c r="SJW32" s="672"/>
      <c r="SJX32" s="672"/>
      <c r="SJY32" s="672"/>
      <c r="SJZ32" s="672"/>
      <c r="SKA32" s="672"/>
      <c r="SKB32" s="672"/>
      <c r="SKC32" s="672"/>
      <c r="SKD32" s="672"/>
      <c r="SKE32" s="672"/>
      <c r="SKF32" s="672"/>
      <c r="SKG32" s="672"/>
      <c r="SKH32" s="672"/>
      <c r="SKI32" s="672"/>
      <c r="SKJ32" s="672"/>
      <c r="SKK32" s="672"/>
      <c r="SKL32" s="672"/>
      <c r="SKM32" s="672"/>
      <c r="SKN32" s="672"/>
      <c r="SKO32" s="672"/>
      <c r="SKP32" s="672"/>
      <c r="SKQ32" s="672"/>
      <c r="SKR32" s="672"/>
      <c r="SKS32" s="672"/>
      <c r="SKT32" s="672"/>
      <c r="SKU32" s="672"/>
      <c r="SKV32" s="672"/>
      <c r="SKW32" s="672"/>
      <c r="SKX32" s="672"/>
      <c r="SKY32" s="672"/>
      <c r="SKZ32" s="672"/>
      <c r="SLA32" s="672"/>
      <c r="SLB32" s="672"/>
      <c r="SLC32" s="672"/>
      <c r="SLD32" s="672"/>
      <c r="SLE32" s="672"/>
      <c r="SLF32" s="672"/>
      <c r="SLG32" s="672"/>
      <c r="SLH32" s="672"/>
      <c r="SLI32" s="672"/>
      <c r="SLJ32" s="672"/>
      <c r="SLK32" s="672"/>
      <c r="SLL32" s="672"/>
      <c r="SLM32" s="672"/>
      <c r="SLN32" s="672"/>
      <c r="SLO32" s="672"/>
      <c r="SLP32" s="672"/>
      <c r="SLQ32" s="672"/>
      <c r="SLR32" s="672"/>
      <c r="SLS32" s="672"/>
      <c r="SLT32" s="672"/>
      <c r="SLU32" s="672"/>
      <c r="SLV32" s="672"/>
      <c r="SLW32" s="672"/>
      <c r="SLX32" s="672"/>
      <c r="SLY32" s="672"/>
      <c r="SLZ32" s="672"/>
      <c r="SMA32" s="672"/>
      <c r="SMB32" s="672"/>
      <c r="SMC32" s="672"/>
      <c r="SMD32" s="672"/>
      <c r="SME32" s="672"/>
      <c r="SMF32" s="672"/>
      <c r="SMG32" s="672"/>
      <c r="SMH32" s="672"/>
      <c r="SMI32" s="672"/>
      <c r="SMJ32" s="672"/>
      <c r="SMK32" s="672"/>
      <c r="SML32" s="672"/>
      <c r="SMM32" s="672"/>
      <c r="SMN32" s="672"/>
      <c r="SMO32" s="672"/>
      <c r="SMP32" s="672"/>
      <c r="SMQ32" s="672"/>
      <c r="SMR32" s="672"/>
      <c r="SMS32" s="672"/>
      <c r="SMT32" s="672"/>
      <c r="SMU32" s="672"/>
      <c r="SMV32" s="672"/>
      <c r="SMW32" s="672"/>
      <c r="SMX32" s="672"/>
      <c r="SMY32" s="672"/>
      <c r="SMZ32" s="672"/>
      <c r="SNA32" s="672"/>
      <c r="SNB32" s="672"/>
      <c r="SNC32" s="672"/>
      <c r="SND32" s="672"/>
      <c r="SNE32" s="672"/>
      <c r="SNF32" s="672"/>
      <c r="SNG32" s="672"/>
      <c r="SNH32" s="672"/>
      <c r="SNI32" s="672"/>
      <c r="SNJ32" s="672"/>
      <c r="SNK32" s="672"/>
      <c r="SNL32" s="672"/>
      <c r="SNM32" s="672"/>
      <c r="SNN32" s="672"/>
      <c r="SNO32" s="672"/>
      <c r="SNP32" s="672"/>
      <c r="SNQ32" s="672"/>
      <c r="SNR32" s="672"/>
      <c r="SNS32" s="672"/>
      <c r="SNT32" s="672"/>
      <c r="SNU32" s="672"/>
      <c r="SNV32" s="672"/>
      <c r="SNW32" s="672"/>
      <c r="SNX32" s="672"/>
      <c r="SNY32" s="672"/>
      <c r="SNZ32" s="672"/>
      <c r="SOA32" s="672"/>
      <c r="SOB32" s="672"/>
      <c r="SOC32" s="672"/>
      <c r="SOD32" s="672"/>
      <c r="SOE32" s="672"/>
      <c r="SOF32" s="672"/>
      <c r="SOG32" s="672"/>
      <c r="SOH32" s="672"/>
      <c r="SOI32" s="672"/>
      <c r="SOJ32" s="672"/>
      <c r="SOK32" s="672"/>
      <c r="SOL32" s="672"/>
      <c r="SOM32" s="672"/>
      <c r="SON32" s="672"/>
      <c r="SOO32" s="672"/>
      <c r="SOP32" s="672"/>
      <c r="SOQ32" s="672"/>
      <c r="SOR32" s="672"/>
      <c r="SOS32" s="672"/>
      <c r="SOT32" s="672"/>
      <c r="SOU32" s="672"/>
      <c r="SOV32" s="672"/>
      <c r="SOW32" s="672"/>
      <c r="SOX32" s="672"/>
      <c r="SOY32" s="672"/>
      <c r="SOZ32" s="672"/>
      <c r="SPA32" s="672"/>
      <c r="SPB32" s="672"/>
      <c r="SPC32" s="672"/>
      <c r="SPD32" s="672"/>
      <c r="SPE32" s="672"/>
      <c r="SPF32" s="672"/>
      <c r="SPG32" s="672"/>
      <c r="SPH32" s="672"/>
      <c r="SPI32" s="672"/>
      <c r="SPJ32" s="672"/>
      <c r="SPK32" s="672"/>
      <c r="SPL32" s="672"/>
      <c r="SPM32" s="672"/>
      <c r="SPN32" s="672"/>
      <c r="SPO32" s="672"/>
      <c r="SPP32" s="672"/>
      <c r="SPQ32" s="672"/>
      <c r="SPR32" s="672"/>
      <c r="SPS32" s="672"/>
      <c r="SPT32" s="672"/>
      <c r="SPU32" s="672"/>
      <c r="SPV32" s="672"/>
      <c r="SPW32" s="672"/>
      <c r="SPX32" s="672"/>
      <c r="SPY32" s="672"/>
      <c r="SPZ32" s="672"/>
      <c r="SQA32" s="672"/>
      <c r="SQB32" s="672"/>
      <c r="SQC32" s="672"/>
      <c r="SQD32" s="672"/>
      <c r="SQE32" s="672"/>
      <c r="SQF32" s="672"/>
      <c r="SQG32" s="672"/>
      <c r="SQH32" s="672"/>
      <c r="SQI32" s="672"/>
      <c r="SQJ32" s="672"/>
      <c r="SQK32" s="672"/>
      <c r="SQL32" s="672"/>
      <c r="SQM32" s="672"/>
      <c r="SQN32" s="672"/>
      <c r="SQO32" s="672"/>
      <c r="SQP32" s="672"/>
      <c r="SQQ32" s="672"/>
      <c r="SQR32" s="672"/>
      <c r="SQS32" s="672"/>
      <c r="SQT32" s="672"/>
      <c r="SQU32" s="672"/>
      <c r="SQV32" s="672"/>
      <c r="SQW32" s="672"/>
      <c r="SQX32" s="672"/>
      <c r="SQY32" s="672"/>
      <c r="SQZ32" s="672"/>
      <c r="SRA32" s="672"/>
      <c r="SRB32" s="672"/>
      <c r="SRC32" s="672"/>
      <c r="SRD32" s="672"/>
      <c r="SRE32" s="672"/>
      <c r="SRF32" s="672"/>
      <c r="SRG32" s="672"/>
      <c r="SRH32" s="672"/>
      <c r="SRI32" s="672"/>
      <c r="SRJ32" s="672"/>
      <c r="SRK32" s="672"/>
      <c r="SRL32" s="672"/>
      <c r="SRM32" s="672"/>
      <c r="SRN32" s="672"/>
      <c r="SRO32" s="672"/>
      <c r="SRP32" s="672"/>
      <c r="SRQ32" s="672"/>
      <c r="SRR32" s="672"/>
      <c r="SRS32" s="672"/>
      <c r="SRT32" s="672"/>
      <c r="SRU32" s="672"/>
      <c r="SRV32" s="672"/>
      <c r="SRW32" s="672"/>
      <c r="SRX32" s="672"/>
      <c r="SRY32" s="672"/>
      <c r="SRZ32" s="672"/>
      <c r="SSA32" s="672"/>
      <c r="SSB32" s="672"/>
      <c r="SSC32" s="672"/>
      <c r="SSD32" s="672"/>
      <c r="SSE32" s="672"/>
      <c r="SSF32" s="672"/>
      <c r="SSG32" s="672"/>
      <c r="SSH32" s="672"/>
      <c r="SSI32" s="672"/>
      <c r="SSJ32" s="672"/>
      <c r="SSK32" s="672"/>
      <c r="SSL32" s="672"/>
      <c r="SSM32" s="672"/>
      <c r="SSN32" s="672"/>
      <c r="SSO32" s="672"/>
      <c r="SSP32" s="672"/>
      <c r="SSQ32" s="672"/>
      <c r="SSR32" s="672"/>
      <c r="SSS32" s="672"/>
      <c r="SST32" s="672"/>
      <c r="SSU32" s="672"/>
      <c r="SSV32" s="672"/>
      <c r="SSW32" s="672"/>
      <c r="SSX32" s="672"/>
      <c r="SSY32" s="672"/>
      <c r="SSZ32" s="672"/>
      <c r="STA32" s="672"/>
      <c r="STB32" s="672"/>
      <c r="STC32" s="672"/>
      <c r="STD32" s="672"/>
      <c r="STE32" s="672"/>
      <c r="STF32" s="672"/>
      <c r="STG32" s="672"/>
      <c r="STH32" s="672"/>
      <c r="STI32" s="672"/>
      <c r="STJ32" s="672"/>
      <c r="STK32" s="672"/>
      <c r="STL32" s="672"/>
      <c r="STM32" s="672"/>
      <c r="STN32" s="672"/>
      <c r="STO32" s="672"/>
      <c r="STP32" s="672"/>
      <c r="STQ32" s="672"/>
      <c r="STR32" s="672"/>
      <c r="STS32" s="672"/>
      <c r="STT32" s="672"/>
      <c r="STU32" s="672"/>
      <c r="STV32" s="672"/>
      <c r="STW32" s="672"/>
      <c r="STX32" s="672"/>
      <c r="STY32" s="672"/>
      <c r="STZ32" s="672"/>
      <c r="SUA32" s="672"/>
      <c r="SUB32" s="672"/>
      <c r="SUC32" s="672"/>
      <c r="SUD32" s="672"/>
      <c r="SUE32" s="672"/>
      <c r="SUF32" s="672"/>
      <c r="SUG32" s="672"/>
      <c r="SUH32" s="672"/>
      <c r="SUI32" s="672"/>
      <c r="SUJ32" s="672"/>
      <c r="SUK32" s="672"/>
      <c r="SUL32" s="672"/>
      <c r="SUM32" s="672"/>
      <c r="SUN32" s="672"/>
      <c r="SUO32" s="672"/>
      <c r="SUP32" s="672"/>
      <c r="SUQ32" s="672"/>
      <c r="SUR32" s="672"/>
      <c r="SUS32" s="672"/>
      <c r="SUT32" s="672"/>
      <c r="SUU32" s="672"/>
      <c r="SUV32" s="672"/>
      <c r="SUW32" s="672"/>
      <c r="SUX32" s="672"/>
      <c r="SUY32" s="672"/>
      <c r="SUZ32" s="672"/>
      <c r="SVA32" s="672"/>
      <c r="SVB32" s="672"/>
      <c r="SVC32" s="672"/>
      <c r="SVD32" s="672"/>
      <c r="SVE32" s="672"/>
      <c r="SVF32" s="672"/>
      <c r="SVG32" s="672"/>
      <c r="SVH32" s="672"/>
      <c r="SVI32" s="672"/>
      <c r="SVJ32" s="672"/>
      <c r="SVK32" s="672"/>
      <c r="SVL32" s="672"/>
      <c r="SVM32" s="672"/>
      <c r="SVN32" s="672"/>
      <c r="SVO32" s="672"/>
      <c r="SVP32" s="672"/>
      <c r="SVQ32" s="672"/>
      <c r="SVR32" s="672"/>
      <c r="SVS32" s="672"/>
      <c r="SVT32" s="672"/>
      <c r="SVU32" s="672"/>
      <c r="SVV32" s="672"/>
      <c r="SVW32" s="672"/>
      <c r="SVX32" s="672"/>
      <c r="SVY32" s="672"/>
      <c r="SVZ32" s="672"/>
      <c r="SWA32" s="672"/>
      <c r="SWB32" s="672"/>
      <c r="SWC32" s="672"/>
      <c r="SWD32" s="672"/>
      <c r="SWE32" s="672"/>
      <c r="SWF32" s="672"/>
      <c r="SWG32" s="672"/>
      <c r="SWH32" s="672"/>
      <c r="SWI32" s="672"/>
      <c r="SWJ32" s="672"/>
      <c r="SWK32" s="672"/>
      <c r="SWL32" s="672"/>
      <c r="SWM32" s="672"/>
      <c r="SWN32" s="672"/>
      <c r="SWO32" s="672"/>
      <c r="SWP32" s="672"/>
      <c r="SWQ32" s="672"/>
      <c r="SWR32" s="672"/>
      <c r="SWS32" s="672"/>
      <c r="SWT32" s="672"/>
      <c r="SWU32" s="672"/>
      <c r="SWV32" s="672"/>
      <c r="SWW32" s="672"/>
      <c r="SWX32" s="672"/>
      <c r="SWY32" s="672"/>
      <c r="SWZ32" s="672"/>
      <c r="SXA32" s="672"/>
      <c r="SXB32" s="672"/>
      <c r="SXC32" s="672"/>
      <c r="SXD32" s="672"/>
      <c r="SXE32" s="672"/>
      <c r="SXF32" s="672"/>
      <c r="SXG32" s="672"/>
      <c r="SXH32" s="672"/>
      <c r="SXI32" s="672"/>
      <c r="SXJ32" s="672"/>
      <c r="SXK32" s="672"/>
      <c r="SXL32" s="672"/>
      <c r="SXM32" s="672"/>
      <c r="SXN32" s="672"/>
      <c r="SXO32" s="672"/>
      <c r="SXP32" s="672"/>
      <c r="SXQ32" s="672"/>
      <c r="SXR32" s="672"/>
      <c r="SXS32" s="672"/>
      <c r="SXT32" s="672"/>
      <c r="SXU32" s="672"/>
      <c r="SXV32" s="672"/>
      <c r="SXW32" s="672"/>
      <c r="SXX32" s="672"/>
      <c r="SXY32" s="672"/>
      <c r="SXZ32" s="672"/>
      <c r="SYA32" s="672"/>
      <c r="SYB32" s="672"/>
      <c r="SYC32" s="672"/>
      <c r="SYD32" s="672"/>
      <c r="SYE32" s="672"/>
      <c r="SYF32" s="672"/>
      <c r="SYG32" s="672"/>
      <c r="SYH32" s="672"/>
      <c r="SYI32" s="672"/>
      <c r="SYJ32" s="672"/>
      <c r="SYK32" s="672"/>
      <c r="SYL32" s="672"/>
      <c r="SYM32" s="672"/>
      <c r="SYN32" s="672"/>
      <c r="SYO32" s="672"/>
      <c r="SYP32" s="672"/>
      <c r="SYQ32" s="672"/>
      <c r="SYR32" s="672"/>
      <c r="SYS32" s="672"/>
      <c r="SYT32" s="672"/>
      <c r="SYU32" s="672"/>
      <c r="SYV32" s="672"/>
      <c r="SYW32" s="672"/>
      <c r="SYX32" s="672"/>
      <c r="SYY32" s="672"/>
      <c r="SYZ32" s="672"/>
      <c r="SZA32" s="672"/>
      <c r="SZB32" s="672"/>
      <c r="SZC32" s="672"/>
      <c r="SZD32" s="672"/>
      <c r="SZE32" s="672"/>
      <c r="SZF32" s="672"/>
      <c r="SZG32" s="672"/>
      <c r="SZH32" s="672"/>
      <c r="SZI32" s="672"/>
      <c r="SZJ32" s="672"/>
      <c r="SZK32" s="672"/>
      <c r="SZL32" s="672"/>
      <c r="SZM32" s="672"/>
      <c r="SZN32" s="672"/>
      <c r="SZO32" s="672"/>
      <c r="SZP32" s="672"/>
      <c r="SZQ32" s="672"/>
      <c r="SZR32" s="672"/>
      <c r="SZS32" s="672"/>
      <c r="SZT32" s="672"/>
      <c r="SZU32" s="672"/>
      <c r="SZV32" s="672"/>
      <c r="SZW32" s="672"/>
      <c r="SZX32" s="672"/>
      <c r="SZY32" s="672"/>
      <c r="SZZ32" s="672"/>
      <c r="TAA32" s="672"/>
      <c r="TAB32" s="672"/>
      <c r="TAC32" s="672"/>
      <c r="TAD32" s="672"/>
      <c r="TAE32" s="672"/>
      <c r="TAF32" s="672"/>
      <c r="TAG32" s="672"/>
      <c r="TAH32" s="672"/>
      <c r="TAI32" s="672"/>
      <c r="TAJ32" s="672"/>
      <c r="TAK32" s="672"/>
      <c r="TAL32" s="672"/>
      <c r="TAM32" s="672"/>
      <c r="TAN32" s="672"/>
      <c r="TAO32" s="672"/>
      <c r="TAP32" s="672"/>
      <c r="TAQ32" s="672"/>
      <c r="TAR32" s="672"/>
      <c r="TAS32" s="672"/>
      <c r="TAT32" s="672"/>
      <c r="TAU32" s="672"/>
      <c r="TAV32" s="672"/>
      <c r="TAW32" s="672"/>
      <c r="TAX32" s="672"/>
      <c r="TAY32" s="672"/>
      <c r="TAZ32" s="672"/>
      <c r="TBA32" s="672"/>
      <c r="TBB32" s="672"/>
      <c r="TBC32" s="672"/>
      <c r="TBD32" s="672"/>
      <c r="TBE32" s="672"/>
      <c r="TBF32" s="672"/>
      <c r="TBG32" s="672"/>
      <c r="TBH32" s="672"/>
      <c r="TBI32" s="672"/>
      <c r="TBJ32" s="672"/>
      <c r="TBK32" s="672"/>
      <c r="TBL32" s="672"/>
      <c r="TBM32" s="672"/>
      <c r="TBN32" s="672"/>
      <c r="TBO32" s="672"/>
      <c r="TBP32" s="672"/>
      <c r="TBQ32" s="672"/>
      <c r="TBR32" s="672"/>
      <c r="TBS32" s="672"/>
      <c r="TBT32" s="672"/>
      <c r="TBU32" s="672"/>
      <c r="TBV32" s="672"/>
      <c r="TBW32" s="672"/>
      <c r="TBX32" s="672"/>
      <c r="TBY32" s="672"/>
      <c r="TBZ32" s="672"/>
      <c r="TCA32" s="672"/>
      <c r="TCB32" s="672"/>
      <c r="TCC32" s="672"/>
      <c r="TCD32" s="672"/>
      <c r="TCE32" s="672"/>
      <c r="TCF32" s="672"/>
      <c r="TCG32" s="672"/>
      <c r="TCH32" s="672"/>
      <c r="TCI32" s="672"/>
      <c r="TCJ32" s="672"/>
      <c r="TCK32" s="672"/>
      <c r="TCL32" s="672"/>
      <c r="TCM32" s="672"/>
      <c r="TCN32" s="672"/>
      <c r="TCO32" s="672"/>
      <c r="TCP32" s="672"/>
      <c r="TCQ32" s="672"/>
      <c r="TCR32" s="672"/>
      <c r="TCS32" s="672"/>
      <c r="TCT32" s="672"/>
      <c r="TCU32" s="672"/>
      <c r="TCV32" s="672"/>
      <c r="TCW32" s="672"/>
      <c r="TCX32" s="672"/>
      <c r="TCY32" s="672"/>
      <c r="TCZ32" s="672"/>
      <c r="TDA32" s="672"/>
      <c r="TDB32" s="672"/>
      <c r="TDC32" s="672"/>
      <c r="TDD32" s="672"/>
      <c r="TDE32" s="672"/>
      <c r="TDF32" s="672"/>
      <c r="TDG32" s="672"/>
      <c r="TDH32" s="672"/>
      <c r="TDI32" s="672"/>
      <c r="TDJ32" s="672"/>
      <c r="TDK32" s="672"/>
      <c r="TDL32" s="672"/>
      <c r="TDM32" s="672"/>
      <c r="TDN32" s="672"/>
      <c r="TDO32" s="672"/>
      <c r="TDP32" s="672"/>
      <c r="TDQ32" s="672"/>
      <c r="TDR32" s="672"/>
      <c r="TDS32" s="672"/>
      <c r="TDT32" s="672"/>
      <c r="TDU32" s="672"/>
      <c r="TDV32" s="672"/>
      <c r="TDW32" s="672"/>
      <c r="TDX32" s="672"/>
      <c r="TDY32" s="672"/>
      <c r="TDZ32" s="672"/>
      <c r="TEA32" s="672"/>
      <c r="TEB32" s="672"/>
      <c r="TEC32" s="672"/>
      <c r="TED32" s="672"/>
      <c r="TEE32" s="672"/>
      <c r="TEF32" s="672"/>
      <c r="TEG32" s="672"/>
      <c r="TEH32" s="672"/>
      <c r="TEI32" s="672"/>
      <c r="TEJ32" s="672"/>
      <c r="TEK32" s="672"/>
      <c r="TEL32" s="672"/>
      <c r="TEM32" s="672"/>
      <c r="TEN32" s="672"/>
      <c r="TEO32" s="672"/>
      <c r="TEP32" s="672"/>
      <c r="TEQ32" s="672"/>
      <c r="TER32" s="672"/>
      <c r="TES32" s="672"/>
      <c r="TET32" s="672"/>
      <c r="TEU32" s="672"/>
      <c r="TEV32" s="672"/>
      <c r="TEW32" s="672"/>
      <c r="TEX32" s="672"/>
      <c r="TEY32" s="672"/>
      <c r="TEZ32" s="672"/>
      <c r="TFA32" s="672"/>
      <c r="TFB32" s="672"/>
      <c r="TFC32" s="672"/>
      <c r="TFD32" s="672"/>
      <c r="TFE32" s="672"/>
      <c r="TFF32" s="672"/>
      <c r="TFG32" s="672"/>
      <c r="TFH32" s="672"/>
      <c r="TFI32" s="672"/>
      <c r="TFJ32" s="672"/>
      <c r="TFK32" s="672"/>
      <c r="TFL32" s="672"/>
      <c r="TFM32" s="672"/>
      <c r="TFN32" s="672"/>
      <c r="TFO32" s="672"/>
      <c r="TFP32" s="672"/>
      <c r="TFQ32" s="672"/>
      <c r="TFR32" s="672"/>
      <c r="TFS32" s="672"/>
      <c r="TFT32" s="672"/>
      <c r="TFU32" s="672"/>
      <c r="TFV32" s="672"/>
      <c r="TFW32" s="672"/>
      <c r="TFX32" s="672"/>
      <c r="TFY32" s="672"/>
      <c r="TFZ32" s="672"/>
      <c r="TGA32" s="672"/>
      <c r="TGB32" s="672"/>
      <c r="TGC32" s="672"/>
      <c r="TGD32" s="672"/>
      <c r="TGE32" s="672"/>
      <c r="TGF32" s="672"/>
      <c r="TGG32" s="672"/>
      <c r="TGH32" s="672"/>
      <c r="TGI32" s="672"/>
      <c r="TGJ32" s="672"/>
      <c r="TGK32" s="672"/>
      <c r="TGL32" s="672"/>
      <c r="TGM32" s="672"/>
      <c r="TGN32" s="672"/>
      <c r="TGO32" s="672"/>
      <c r="TGP32" s="672"/>
      <c r="TGQ32" s="672"/>
      <c r="TGR32" s="672"/>
      <c r="TGS32" s="672"/>
      <c r="TGT32" s="672"/>
      <c r="TGU32" s="672"/>
      <c r="TGV32" s="672"/>
      <c r="TGW32" s="672"/>
      <c r="TGX32" s="672"/>
      <c r="TGY32" s="672"/>
      <c r="TGZ32" s="672"/>
      <c r="THA32" s="672"/>
      <c r="THB32" s="672"/>
      <c r="THC32" s="672"/>
      <c r="THD32" s="672"/>
      <c r="THE32" s="672"/>
      <c r="THF32" s="672"/>
      <c r="THG32" s="672"/>
      <c r="THH32" s="672"/>
      <c r="THI32" s="672"/>
      <c r="THJ32" s="672"/>
      <c r="THK32" s="672"/>
      <c r="THL32" s="672"/>
      <c r="THM32" s="672"/>
      <c r="THN32" s="672"/>
      <c r="THO32" s="672"/>
      <c r="THP32" s="672"/>
      <c r="THQ32" s="672"/>
      <c r="THR32" s="672"/>
      <c r="THS32" s="672"/>
      <c r="THT32" s="672"/>
      <c r="THU32" s="672"/>
      <c r="THV32" s="672"/>
      <c r="THW32" s="672"/>
      <c r="THX32" s="672"/>
      <c r="THY32" s="672"/>
      <c r="THZ32" s="672"/>
      <c r="TIA32" s="672"/>
      <c r="TIB32" s="672"/>
      <c r="TIC32" s="672"/>
      <c r="TID32" s="672"/>
      <c r="TIE32" s="672"/>
      <c r="TIF32" s="672"/>
      <c r="TIG32" s="672"/>
      <c r="TIH32" s="672"/>
      <c r="TII32" s="672"/>
      <c r="TIJ32" s="672"/>
      <c r="TIK32" s="672"/>
      <c r="TIL32" s="672"/>
      <c r="TIM32" s="672"/>
      <c r="TIN32" s="672"/>
      <c r="TIO32" s="672"/>
      <c r="TIP32" s="672"/>
      <c r="TIQ32" s="672"/>
      <c r="TIR32" s="672"/>
      <c r="TIS32" s="672"/>
      <c r="TIT32" s="672"/>
      <c r="TIU32" s="672"/>
      <c r="TIV32" s="672"/>
      <c r="TIW32" s="672"/>
      <c r="TIX32" s="672"/>
      <c r="TIY32" s="672"/>
      <c r="TIZ32" s="672"/>
      <c r="TJA32" s="672"/>
      <c r="TJB32" s="672"/>
      <c r="TJC32" s="672"/>
      <c r="TJD32" s="672"/>
      <c r="TJE32" s="672"/>
      <c r="TJF32" s="672"/>
      <c r="TJG32" s="672"/>
      <c r="TJH32" s="672"/>
      <c r="TJI32" s="672"/>
      <c r="TJJ32" s="672"/>
      <c r="TJK32" s="672"/>
      <c r="TJL32" s="672"/>
      <c r="TJM32" s="672"/>
      <c r="TJN32" s="672"/>
      <c r="TJO32" s="672"/>
      <c r="TJP32" s="672"/>
      <c r="TJQ32" s="672"/>
      <c r="TJR32" s="672"/>
      <c r="TJS32" s="672"/>
      <c r="TJT32" s="672"/>
      <c r="TJU32" s="672"/>
      <c r="TJV32" s="672"/>
      <c r="TJW32" s="672"/>
      <c r="TJX32" s="672"/>
      <c r="TJY32" s="672"/>
      <c r="TJZ32" s="672"/>
      <c r="TKA32" s="672"/>
      <c r="TKB32" s="672"/>
      <c r="TKC32" s="672"/>
      <c r="TKD32" s="672"/>
      <c r="TKE32" s="672"/>
      <c r="TKF32" s="672"/>
      <c r="TKG32" s="672"/>
      <c r="TKH32" s="672"/>
      <c r="TKI32" s="672"/>
      <c r="TKJ32" s="672"/>
      <c r="TKK32" s="672"/>
      <c r="TKL32" s="672"/>
      <c r="TKM32" s="672"/>
      <c r="TKN32" s="672"/>
      <c r="TKO32" s="672"/>
      <c r="TKP32" s="672"/>
      <c r="TKQ32" s="672"/>
      <c r="TKR32" s="672"/>
      <c r="TKS32" s="672"/>
      <c r="TKT32" s="672"/>
      <c r="TKU32" s="672"/>
      <c r="TKV32" s="672"/>
      <c r="TKW32" s="672"/>
      <c r="TKX32" s="672"/>
      <c r="TKY32" s="672"/>
      <c r="TKZ32" s="672"/>
      <c r="TLA32" s="672"/>
      <c r="TLB32" s="672"/>
      <c r="TLC32" s="672"/>
      <c r="TLD32" s="672"/>
      <c r="TLE32" s="672"/>
      <c r="TLF32" s="672"/>
      <c r="TLG32" s="672"/>
      <c r="TLH32" s="672"/>
      <c r="TLI32" s="672"/>
      <c r="TLJ32" s="672"/>
      <c r="TLK32" s="672"/>
      <c r="TLL32" s="672"/>
      <c r="TLM32" s="672"/>
      <c r="TLN32" s="672"/>
      <c r="TLO32" s="672"/>
      <c r="TLP32" s="672"/>
      <c r="TLQ32" s="672"/>
      <c r="TLR32" s="672"/>
      <c r="TLS32" s="672"/>
      <c r="TLT32" s="672"/>
      <c r="TLU32" s="672"/>
      <c r="TLV32" s="672"/>
      <c r="TLW32" s="672"/>
      <c r="TLX32" s="672"/>
      <c r="TLY32" s="672"/>
      <c r="TLZ32" s="672"/>
      <c r="TMA32" s="672"/>
      <c r="TMB32" s="672"/>
      <c r="TMC32" s="672"/>
      <c r="TMD32" s="672"/>
      <c r="TME32" s="672"/>
      <c r="TMF32" s="672"/>
      <c r="TMG32" s="672"/>
      <c r="TMH32" s="672"/>
      <c r="TMI32" s="672"/>
      <c r="TMJ32" s="672"/>
      <c r="TMK32" s="672"/>
      <c r="TML32" s="672"/>
      <c r="TMM32" s="672"/>
      <c r="TMN32" s="672"/>
      <c r="TMO32" s="672"/>
      <c r="TMP32" s="672"/>
      <c r="TMQ32" s="672"/>
      <c r="TMR32" s="672"/>
      <c r="TMS32" s="672"/>
      <c r="TMT32" s="672"/>
      <c r="TMU32" s="672"/>
      <c r="TMV32" s="672"/>
      <c r="TMW32" s="672"/>
      <c r="TMX32" s="672"/>
      <c r="TMY32" s="672"/>
      <c r="TMZ32" s="672"/>
      <c r="TNA32" s="672"/>
      <c r="TNB32" s="672"/>
      <c r="TNC32" s="672"/>
      <c r="TND32" s="672"/>
      <c r="TNE32" s="672"/>
      <c r="TNF32" s="672"/>
      <c r="TNG32" s="672"/>
      <c r="TNH32" s="672"/>
      <c r="TNI32" s="672"/>
      <c r="TNJ32" s="672"/>
      <c r="TNK32" s="672"/>
      <c r="TNL32" s="672"/>
      <c r="TNM32" s="672"/>
      <c r="TNN32" s="672"/>
      <c r="TNO32" s="672"/>
      <c r="TNP32" s="672"/>
      <c r="TNQ32" s="672"/>
      <c r="TNR32" s="672"/>
      <c r="TNS32" s="672"/>
      <c r="TNT32" s="672"/>
      <c r="TNU32" s="672"/>
      <c r="TNV32" s="672"/>
      <c r="TNW32" s="672"/>
      <c r="TNX32" s="672"/>
      <c r="TNY32" s="672"/>
      <c r="TNZ32" s="672"/>
      <c r="TOA32" s="672"/>
      <c r="TOB32" s="672"/>
      <c r="TOC32" s="672"/>
      <c r="TOD32" s="672"/>
      <c r="TOE32" s="672"/>
      <c r="TOF32" s="672"/>
      <c r="TOG32" s="672"/>
      <c r="TOH32" s="672"/>
      <c r="TOI32" s="672"/>
      <c r="TOJ32" s="672"/>
      <c r="TOK32" s="672"/>
      <c r="TOL32" s="672"/>
      <c r="TOM32" s="672"/>
      <c r="TON32" s="672"/>
      <c r="TOO32" s="672"/>
      <c r="TOP32" s="672"/>
      <c r="TOQ32" s="672"/>
      <c r="TOR32" s="672"/>
      <c r="TOS32" s="672"/>
      <c r="TOT32" s="672"/>
      <c r="TOU32" s="672"/>
      <c r="TOV32" s="672"/>
      <c r="TOW32" s="672"/>
      <c r="TOX32" s="672"/>
      <c r="TOY32" s="672"/>
      <c r="TOZ32" s="672"/>
      <c r="TPA32" s="672"/>
      <c r="TPB32" s="672"/>
      <c r="TPC32" s="672"/>
      <c r="TPD32" s="672"/>
      <c r="TPE32" s="672"/>
      <c r="TPF32" s="672"/>
      <c r="TPG32" s="672"/>
      <c r="TPH32" s="672"/>
      <c r="TPI32" s="672"/>
      <c r="TPJ32" s="672"/>
      <c r="TPK32" s="672"/>
      <c r="TPL32" s="672"/>
      <c r="TPM32" s="672"/>
      <c r="TPN32" s="672"/>
      <c r="TPO32" s="672"/>
      <c r="TPP32" s="672"/>
      <c r="TPQ32" s="672"/>
      <c r="TPR32" s="672"/>
      <c r="TPS32" s="672"/>
      <c r="TPT32" s="672"/>
      <c r="TPU32" s="672"/>
      <c r="TPV32" s="672"/>
      <c r="TPW32" s="672"/>
      <c r="TPX32" s="672"/>
      <c r="TPY32" s="672"/>
      <c r="TPZ32" s="672"/>
      <c r="TQA32" s="672"/>
      <c r="TQB32" s="672"/>
      <c r="TQC32" s="672"/>
      <c r="TQD32" s="672"/>
      <c r="TQE32" s="672"/>
      <c r="TQF32" s="672"/>
      <c r="TQG32" s="672"/>
      <c r="TQH32" s="672"/>
      <c r="TQI32" s="672"/>
      <c r="TQJ32" s="672"/>
      <c r="TQK32" s="672"/>
      <c r="TQL32" s="672"/>
      <c r="TQM32" s="672"/>
      <c r="TQN32" s="672"/>
      <c r="TQO32" s="672"/>
      <c r="TQP32" s="672"/>
      <c r="TQQ32" s="672"/>
      <c r="TQR32" s="672"/>
      <c r="TQS32" s="672"/>
      <c r="TQT32" s="672"/>
      <c r="TQU32" s="672"/>
      <c r="TQV32" s="672"/>
      <c r="TQW32" s="672"/>
      <c r="TQX32" s="672"/>
      <c r="TQY32" s="672"/>
      <c r="TQZ32" s="672"/>
      <c r="TRA32" s="672"/>
      <c r="TRB32" s="672"/>
      <c r="TRC32" s="672"/>
      <c r="TRD32" s="672"/>
      <c r="TRE32" s="672"/>
      <c r="TRF32" s="672"/>
      <c r="TRG32" s="672"/>
      <c r="TRH32" s="672"/>
      <c r="TRI32" s="672"/>
      <c r="TRJ32" s="672"/>
      <c r="TRK32" s="672"/>
      <c r="TRL32" s="672"/>
      <c r="TRM32" s="672"/>
      <c r="TRN32" s="672"/>
      <c r="TRO32" s="672"/>
      <c r="TRP32" s="672"/>
      <c r="TRQ32" s="672"/>
      <c r="TRR32" s="672"/>
      <c r="TRS32" s="672"/>
      <c r="TRT32" s="672"/>
      <c r="TRU32" s="672"/>
      <c r="TRV32" s="672"/>
      <c r="TRW32" s="672"/>
      <c r="TRX32" s="672"/>
      <c r="TRY32" s="672"/>
      <c r="TRZ32" s="672"/>
      <c r="TSA32" s="672"/>
      <c r="TSB32" s="672"/>
      <c r="TSC32" s="672"/>
      <c r="TSD32" s="672"/>
      <c r="TSE32" s="672"/>
      <c r="TSF32" s="672"/>
      <c r="TSG32" s="672"/>
      <c r="TSH32" s="672"/>
      <c r="TSI32" s="672"/>
      <c r="TSJ32" s="672"/>
      <c r="TSK32" s="672"/>
      <c r="TSL32" s="672"/>
      <c r="TSM32" s="672"/>
      <c r="TSN32" s="672"/>
      <c r="TSO32" s="672"/>
      <c r="TSP32" s="672"/>
      <c r="TSQ32" s="672"/>
      <c r="TSR32" s="672"/>
      <c r="TSS32" s="672"/>
      <c r="TST32" s="672"/>
      <c r="TSU32" s="672"/>
      <c r="TSV32" s="672"/>
      <c r="TSW32" s="672"/>
      <c r="TSX32" s="672"/>
      <c r="TSY32" s="672"/>
      <c r="TSZ32" s="672"/>
      <c r="TTA32" s="672"/>
      <c r="TTB32" s="672"/>
      <c r="TTC32" s="672"/>
      <c r="TTD32" s="672"/>
      <c r="TTE32" s="672"/>
      <c r="TTF32" s="672"/>
      <c r="TTG32" s="672"/>
      <c r="TTH32" s="672"/>
      <c r="TTI32" s="672"/>
      <c r="TTJ32" s="672"/>
      <c r="TTK32" s="672"/>
      <c r="TTL32" s="672"/>
      <c r="TTM32" s="672"/>
      <c r="TTN32" s="672"/>
      <c r="TTO32" s="672"/>
      <c r="TTP32" s="672"/>
      <c r="TTQ32" s="672"/>
      <c r="TTR32" s="672"/>
      <c r="TTS32" s="672"/>
      <c r="TTT32" s="672"/>
      <c r="TTU32" s="672"/>
      <c r="TTV32" s="672"/>
      <c r="TTW32" s="672"/>
      <c r="TTX32" s="672"/>
      <c r="TTY32" s="672"/>
      <c r="TTZ32" s="672"/>
      <c r="TUA32" s="672"/>
      <c r="TUB32" s="672"/>
      <c r="TUC32" s="672"/>
      <c r="TUD32" s="672"/>
      <c r="TUE32" s="672"/>
      <c r="TUF32" s="672"/>
      <c r="TUG32" s="672"/>
      <c r="TUH32" s="672"/>
      <c r="TUI32" s="672"/>
      <c r="TUJ32" s="672"/>
      <c r="TUK32" s="672"/>
      <c r="TUL32" s="672"/>
      <c r="TUM32" s="672"/>
      <c r="TUN32" s="672"/>
      <c r="TUO32" s="672"/>
      <c r="TUP32" s="672"/>
      <c r="TUQ32" s="672"/>
      <c r="TUR32" s="672"/>
      <c r="TUS32" s="672"/>
      <c r="TUT32" s="672"/>
      <c r="TUU32" s="672"/>
      <c r="TUV32" s="672"/>
      <c r="TUW32" s="672"/>
      <c r="TUX32" s="672"/>
      <c r="TUY32" s="672"/>
      <c r="TUZ32" s="672"/>
      <c r="TVA32" s="672"/>
      <c r="TVB32" s="672"/>
      <c r="TVC32" s="672"/>
      <c r="TVD32" s="672"/>
      <c r="TVE32" s="672"/>
      <c r="TVF32" s="672"/>
      <c r="TVG32" s="672"/>
      <c r="TVH32" s="672"/>
      <c r="TVI32" s="672"/>
      <c r="TVJ32" s="672"/>
      <c r="TVK32" s="672"/>
      <c r="TVL32" s="672"/>
      <c r="TVM32" s="672"/>
      <c r="TVN32" s="672"/>
      <c r="TVO32" s="672"/>
      <c r="TVP32" s="672"/>
      <c r="TVQ32" s="672"/>
      <c r="TVR32" s="672"/>
      <c r="TVS32" s="672"/>
      <c r="TVT32" s="672"/>
      <c r="TVU32" s="672"/>
      <c r="TVV32" s="672"/>
      <c r="TVW32" s="672"/>
      <c r="TVX32" s="672"/>
      <c r="TVY32" s="672"/>
      <c r="TVZ32" s="672"/>
      <c r="TWA32" s="672"/>
      <c r="TWB32" s="672"/>
      <c r="TWC32" s="672"/>
      <c r="TWD32" s="672"/>
      <c r="TWE32" s="672"/>
      <c r="TWF32" s="672"/>
      <c r="TWG32" s="672"/>
      <c r="TWH32" s="672"/>
      <c r="TWI32" s="672"/>
      <c r="TWJ32" s="672"/>
      <c r="TWK32" s="672"/>
      <c r="TWL32" s="672"/>
      <c r="TWM32" s="672"/>
      <c r="TWN32" s="672"/>
      <c r="TWO32" s="672"/>
      <c r="TWP32" s="672"/>
      <c r="TWQ32" s="672"/>
      <c r="TWR32" s="672"/>
      <c r="TWS32" s="672"/>
      <c r="TWT32" s="672"/>
      <c r="TWU32" s="672"/>
      <c r="TWV32" s="672"/>
      <c r="TWW32" s="672"/>
      <c r="TWX32" s="672"/>
      <c r="TWY32" s="672"/>
      <c r="TWZ32" s="672"/>
      <c r="TXA32" s="672"/>
      <c r="TXB32" s="672"/>
      <c r="TXC32" s="672"/>
      <c r="TXD32" s="672"/>
      <c r="TXE32" s="672"/>
      <c r="TXF32" s="672"/>
      <c r="TXG32" s="672"/>
      <c r="TXH32" s="672"/>
      <c r="TXI32" s="672"/>
      <c r="TXJ32" s="672"/>
      <c r="TXK32" s="672"/>
      <c r="TXL32" s="672"/>
      <c r="TXM32" s="672"/>
      <c r="TXN32" s="672"/>
      <c r="TXO32" s="672"/>
      <c r="TXP32" s="672"/>
      <c r="TXQ32" s="672"/>
      <c r="TXR32" s="672"/>
      <c r="TXS32" s="672"/>
      <c r="TXT32" s="672"/>
      <c r="TXU32" s="672"/>
      <c r="TXV32" s="672"/>
      <c r="TXW32" s="672"/>
      <c r="TXX32" s="672"/>
      <c r="TXY32" s="672"/>
      <c r="TXZ32" s="672"/>
      <c r="TYA32" s="672"/>
      <c r="TYB32" s="672"/>
      <c r="TYC32" s="672"/>
      <c r="TYD32" s="672"/>
      <c r="TYE32" s="672"/>
      <c r="TYF32" s="672"/>
      <c r="TYG32" s="672"/>
      <c r="TYH32" s="672"/>
      <c r="TYI32" s="672"/>
      <c r="TYJ32" s="672"/>
      <c r="TYK32" s="672"/>
      <c r="TYL32" s="672"/>
      <c r="TYM32" s="672"/>
      <c r="TYN32" s="672"/>
      <c r="TYO32" s="672"/>
      <c r="TYP32" s="672"/>
      <c r="TYQ32" s="672"/>
      <c r="TYR32" s="672"/>
      <c r="TYS32" s="672"/>
      <c r="TYT32" s="672"/>
      <c r="TYU32" s="672"/>
      <c r="TYV32" s="672"/>
      <c r="TYW32" s="672"/>
      <c r="TYX32" s="672"/>
      <c r="TYY32" s="672"/>
      <c r="TYZ32" s="672"/>
      <c r="TZA32" s="672"/>
      <c r="TZB32" s="672"/>
      <c r="TZC32" s="672"/>
      <c r="TZD32" s="672"/>
      <c r="TZE32" s="672"/>
      <c r="TZF32" s="672"/>
      <c r="TZG32" s="672"/>
      <c r="TZH32" s="672"/>
      <c r="TZI32" s="672"/>
      <c r="TZJ32" s="672"/>
      <c r="TZK32" s="672"/>
      <c r="TZL32" s="672"/>
      <c r="TZM32" s="672"/>
      <c r="TZN32" s="672"/>
      <c r="TZO32" s="672"/>
      <c r="TZP32" s="672"/>
      <c r="TZQ32" s="672"/>
      <c r="TZR32" s="672"/>
      <c r="TZS32" s="672"/>
      <c r="TZT32" s="672"/>
      <c r="TZU32" s="672"/>
      <c r="TZV32" s="672"/>
      <c r="TZW32" s="672"/>
      <c r="TZX32" s="672"/>
      <c r="TZY32" s="672"/>
      <c r="TZZ32" s="672"/>
      <c r="UAA32" s="672"/>
      <c r="UAB32" s="672"/>
      <c r="UAC32" s="672"/>
      <c r="UAD32" s="672"/>
      <c r="UAE32" s="672"/>
      <c r="UAF32" s="672"/>
      <c r="UAG32" s="672"/>
      <c r="UAH32" s="672"/>
      <c r="UAI32" s="672"/>
      <c r="UAJ32" s="672"/>
      <c r="UAK32" s="672"/>
      <c r="UAL32" s="672"/>
      <c r="UAM32" s="672"/>
      <c r="UAN32" s="672"/>
      <c r="UAO32" s="672"/>
      <c r="UAP32" s="672"/>
      <c r="UAQ32" s="672"/>
      <c r="UAR32" s="672"/>
      <c r="UAS32" s="672"/>
      <c r="UAT32" s="672"/>
      <c r="UAU32" s="672"/>
      <c r="UAV32" s="672"/>
      <c r="UAW32" s="672"/>
      <c r="UAX32" s="672"/>
      <c r="UAY32" s="672"/>
      <c r="UAZ32" s="672"/>
      <c r="UBA32" s="672"/>
      <c r="UBB32" s="672"/>
      <c r="UBC32" s="672"/>
      <c r="UBD32" s="672"/>
      <c r="UBE32" s="672"/>
      <c r="UBF32" s="672"/>
      <c r="UBG32" s="672"/>
      <c r="UBH32" s="672"/>
      <c r="UBI32" s="672"/>
      <c r="UBJ32" s="672"/>
      <c r="UBK32" s="672"/>
      <c r="UBL32" s="672"/>
      <c r="UBM32" s="672"/>
      <c r="UBN32" s="672"/>
      <c r="UBO32" s="672"/>
      <c r="UBP32" s="672"/>
      <c r="UBQ32" s="672"/>
      <c r="UBR32" s="672"/>
      <c r="UBS32" s="672"/>
      <c r="UBT32" s="672"/>
      <c r="UBU32" s="672"/>
      <c r="UBV32" s="672"/>
      <c r="UBW32" s="672"/>
      <c r="UBX32" s="672"/>
      <c r="UBY32" s="672"/>
      <c r="UBZ32" s="672"/>
      <c r="UCA32" s="672"/>
      <c r="UCB32" s="672"/>
      <c r="UCC32" s="672"/>
      <c r="UCD32" s="672"/>
      <c r="UCE32" s="672"/>
      <c r="UCF32" s="672"/>
      <c r="UCG32" s="672"/>
      <c r="UCH32" s="672"/>
      <c r="UCI32" s="672"/>
      <c r="UCJ32" s="672"/>
      <c r="UCK32" s="672"/>
      <c r="UCL32" s="672"/>
      <c r="UCM32" s="672"/>
      <c r="UCN32" s="672"/>
      <c r="UCO32" s="672"/>
      <c r="UCP32" s="672"/>
      <c r="UCQ32" s="672"/>
      <c r="UCR32" s="672"/>
      <c r="UCS32" s="672"/>
      <c r="UCT32" s="672"/>
      <c r="UCU32" s="672"/>
      <c r="UCV32" s="672"/>
      <c r="UCW32" s="672"/>
      <c r="UCX32" s="672"/>
      <c r="UCY32" s="672"/>
      <c r="UCZ32" s="672"/>
      <c r="UDA32" s="672"/>
      <c r="UDB32" s="672"/>
      <c r="UDC32" s="672"/>
      <c r="UDD32" s="672"/>
      <c r="UDE32" s="672"/>
      <c r="UDF32" s="672"/>
      <c r="UDG32" s="672"/>
      <c r="UDH32" s="672"/>
      <c r="UDI32" s="672"/>
      <c r="UDJ32" s="672"/>
      <c r="UDK32" s="672"/>
      <c r="UDL32" s="672"/>
      <c r="UDM32" s="672"/>
      <c r="UDN32" s="672"/>
      <c r="UDO32" s="672"/>
      <c r="UDP32" s="672"/>
      <c r="UDQ32" s="672"/>
      <c r="UDR32" s="672"/>
      <c r="UDS32" s="672"/>
      <c r="UDT32" s="672"/>
      <c r="UDU32" s="672"/>
      <c r="UDV32" s="672"/>
      <c r="UDW32" s="672"/>
      <c r="UDX32" s="672"/>
      <c r="UDY32" s="672"/>
      <c r="UDZ32" s="672"/>
      <c r="UEA32" s="672"/>
      <c r="UEB32" s="672"/>
      <c r="UEC32" s="672"/>
      <c r="UED32" s="672"/>
      <c r="UEE32" s="672"/>
      <c r="UEF32" s="672"/>
      <c r="UEG32" s="672"/>
      <c r="UEH32" s="672"/>
      <c r="UEI32" s="672"/>
      <c r="UEJ32" s="672"/>
      <c r="UEK32" s="672"/>
      <c r="UEL32" s="672"/>
      <c r="UEM32" s="672"/>
      <c r="UEN32" s="672"/>
      <c r="UEO32" s="672"/>
      <c r="UEP32" s="672"/>
      <c r="UEQ32" s="672"/>
      <c r="UER32" s="672"/>
      <c r="UES32" s="672"/>
      <c r="UET32" s="672"/>
      <c r="UEU32" s="672"/>
      <c r="UEV32" s="672"/>
      <c r="UEW32" s="672"/>
      <c r="UEX32" s="672"/>
      <c r="UEY32" s="672"/>
      <c r="UEZ32" s="672"/>
      <c r="UFA32" s="672"/>
      <c r="UFB32" s="672"/>
      <c r="UFC32" s="672"/>
      <c r="UFD32" s="672"/>
      <c r="UFE32" s="672"/>
      <c r="UFF32" s="672"/>
      <c r="UFG32" s="672"/>
      <c r="UFH32" s="672"/>
      <c r="UFI32" s="672"/>
      <c r="UFJ32" s="672"/>
      <c r="UFK32" s="672"/>
      <c r="UFL32" s="672"/>
      <c r="UFM32" s="672"/>
      <c r="UFN32" s="672"/>
      <c r="UFO32" s="672"/>
      <c r="UFP32" s="672"/>
      <c r="UFQ32" s="672"/>
      <c r="UFR32" s="672"/>
      <c r="UFS32" s="672"/>
      <c r="UFT32" s="672"/>
      <c r="UFU32" s="672"/>
      <c r="UFV32" s="672"/>
      <c r="UFW32" s="672"/>
      <c r="UFX32" s="672"/>
      <c r="UFY32" s="672"/>
      <c r="UFZ32" s="672"/>
      <c r="UGA32" s="672"/>
      <c r="UGB32" s="672"/>
      <c r="UGC32" s="672"/>
      <c r="UGD32" s="672"/>
      <c r="UGE32" s="672"/>
      <c r="UGF32" s="672"/>
      <c r="UGG32" s="672"/>
      <c r="UGH32" s="672"/>
      <c r="UGI32" s="672"/>
      <c r="UGJ32" s="672"/>
      <c r="UGK32" s="672"/>
      <c r="UGL32" s="672"/>
      <c r="UGM32" s="672"/>
      <c r="UGN32" s="672"/>
      <c r="UGO32" s="672"/>
      <c r="UGP32" s="672"/>
      <c r="UGQ32" s="672"/>
      <c r="UGR32" s="672"/>
      <c r="UGS32" s="672"/>
      <c r="UGT32" s="672"/>
      <c r="UGU32" s="672"/>
      <c r="UGV32" s="672"/>
      <c r="UGW32" s="672"/>
      <c r="UGX32" s="672"/>
      <c r="UGY32" s="672"/>
      <c r="UGZ32" s="672"/>
      <c r="UHA32" s="672"/>
      <c r="UHB32" s="672"/>
      <c r="UHC32" s="672"/>
      <c r="UHD32" s="672"/>
      <c r="UHE32" s="672"/>
      <c r="UHF32" s="672"/>
      <c r="UHG32" s="672"/>
      <c r="UHH32" s="672"/>
      <c r="UHI32" s="672"/>
      <c r="UHJ32" s="672"/>
      <c r="UHK32" s="672"/>
      <c r="UHL32" s="672"/>
      <c r="UHM32" s="672"/>
      <c r="UHN32" s="672"/>
      <c r="UHO32" s="672"/>
      <c r="UHP32" s="672"/>
      <c r="UHQ32" s="672"/>
      <c r="UHR32" s="672"/>
      <c r="UHS32" s="672"/>
      <c r="UHT32" s="672"/>
      <c r="UHU32" s="672"/>
      <c r="UHV32" s="672"/>
      <c r="UHW32" s="672"/>
      <c r="UHX32" s="672"/>
      <c r="UHY32" s="672"/>
      <c r="UHZ32" s="672"/>
      <c r="UIA32" s="672"/>
      <c r="UIB32" s="672"/>
      <c r="UIC32" s="672"/>
      <c r="UID32" s="672"/>
      <c r="UIE32" s="672"/>
      <c r="UIF32" s="672"/>
      <c r="UIG32" s="672"/>
      <c r="UIH32" s="672"/>
      <c r="UII32" s="672"/>
      <c r="UIJ32" s="672"/>
      <c r="UIK32" s="672"/>
      <c r="UIL32" s="672"/>
      <c r="UIM32" s="672"/>
      <c r="UIN32" s="672"/>
      <c r="UIO32" s="672"/>
      <c r="UIP32" s="672"/>
      <c r="UIQ32" s="672"/>
      <c r="UIR32" s="672"/>
      <c r="UIS32" s="672"/>
      <c r="UIT32" s="672"/>
      <c r="UIU32" s="672"/>
      <c r="UIV32" s="672"/>
      <c r="UIW32" s="672"/>
      <c r="UIX32" s="672"/>
      <c r="UIY32" s="672"/>
      <c r="UIZ32" s="672"/>
      <c r="UJA32" s="672"/>
      <c r="UJB32" s="672"/>
      <c r="UJC32" s="672"/>
      <c r="UJD32" s="672"/>
      <c r="UJE32" s="672"/>
      <c r="UJF32" s="672"/>
      <c r="UJG32" s="672"/>
      <c r="UJH32" s="672"/>
      <c r="UJI32" s="672"/>
      <c r="UJJ32" s="672"/>
      <c r="UJK32" s="672"/>
      <c r="UJL32" s="672"/>
      <c r="UJM32" s="672"/>
      <c r="UJN32" s="672"/>
      <c r="UJO32" s="672"/>
      <c r="UJP32" s="672"/>
      <c r="UJQ32" s="672"/>
      <c r="UJR32" s="672"/>
      <c r="UJS32" s="672"/>
      <c r="UJT32" s="672"/>
      <c r="UJU32" s="672"/>
      <c r="UJV32" s="672"/>
      <c r="UJW32" s="672"/>
      <c r="UJX32" s="672"/>
      <c r="UJY32" s="672"/>
      <c r="UJZ32" s="672"/>
      <c r="UKA32" s="672"/>
      <c r="UKB32" s="672"/>
      <c r="UKC32" s="672"/>
      <c r="UKD32" s="672"/>
      <c r="UKE32" s="672"/>
      <c r="UKF32" s="672"/>
      <c r="UKG32" s="672"/>
      <c r="UKH32" s="672"/>
      <c r="UKI32" s="672"/>
      <c r="UKJ32" s="672"/>
      <c r="UKK32" s="672"/>
      <c r="UKL32" s="672"/>
      <c r="UKM32" s="672"/>
      <c r="UKN32" s="672"/>
      <c r="UKO32" s="672"/>
      <c r="UKP32" s="672"/>
      <c r="UKQ32" s="672"/>
      <c r="UKR32" s="672"/>
      <c r="UKS32" s="672"/>
      <c r="UKT32" s="672"/>
      <c r="UKU32" s="672"/>
      <c r="UKV32" s="672"/>
      <c r="UKW32" s="672"/>
      <c r="UKX32" s="672"/>
      <c r="UKY32" s="672"/>
      <c r="UKZ32" s="672"/>
      <c r="ULA32" s="672"/>
      <c r="ULB32" s="672"/>
      <c r="ULC32" s="672"/>
      <c r="ULD32" s="672"/>
      <c r="ULE32" s="672"/>
      <c r="ULF32" s="672"/>
      <c r="ULG32" s="672"/>
      <c r="ULH32" s="672"/>
      <c r="ULI32" s="672"/>
      <c r="ULJ32" s="672"/>
      <c r="ULK32" s="672"/>
      <c r="ULL32" s="672"/>
      <c r="ULM32" s="672"/>
      <c r="ULN32" s="672"/>
      <c r="ULO32" s="672"/>
      <c r="ULP32" s="672"/>
      <c r="ULQ32" s="672"/>
      <c r="ULR32" s="672"/>
      <c r="ULS32" s="672"/>
      <c r="ULT32" s="672"/>
      <c r="ULU32" s="672"/>
      <c r="ULV32" s="672"/>
      <c r="ULW32" s="672"/>
      <c r="ULX32" s="672"/>
      <c r="ULY32" s="672"/>
      <c r="ULZ32" s="672"/>
      <c r="UMA32" s="672"/>
      <c r="UMB32" s="672"/>
      <c r="UMC32" s="672"/>
      <c r="UMD32" s="672"/>
      <c r="UME32" s="672"/>
      <c r="UMF32" s="672"/>
      <c r="UMG32" s="672"/>
      <c r="UMH32" s="672"/>
      <c r="UMI32" s="672"/>
      <c r="UMJ32" s="672"/>
      <c r="UMK32" s="672"/>
      <c r="UML32" s="672"/>
      <c r="UMM32" s="672"/>
      <c r="UMN32" s="672"/>
      <c r="UMO32" s="672"/>
      <c r="UMP32" s="672"/>
      <c r="UMQ32" s="672"/>
      <c r="UMR32" s="672"/>
      <c r="UMS32" s="672"/>
      <c r="UMT32" s="672"/>
      <c r="UMU32" s="672"/>
      <c r="UMV32" s="672"/>
      <c r="UMW32" s="672"/>
      <c r="UMX32" s="672"/>
      <c r="UMY32" s="672"/>
      <c r="UMZ32" s="672"/>
      <c r="UNA32" s="672"/>
      <c r="UNB32" s="672"/>
      <c r="UNC32" s="672"/>
      <c r="UND32" s="672"/>
      <c r="UNE32" s="672"/>
      <c r="UNF32" s="672"/>
      <c r="UNG32" s="672"/>
      <c r="UNH32" s="672"/>
      <c r="UNI32" s="672"/>
      <c r="UNJ32" s="672"/>
      <c r="UNK32" s="672"/>
      <c r="UNL32" s="672"/>
      <c r="UNM32" s="672"/>
      <c r="UNN32" s="672"/>
      <c r="UNO32" s="672"/>
      <c r="UNP32" s="672"/>
      <c r="UNQ32" s="672"/>
      <c r="UNR32" s="672"/>
      <c r="UNS32" s="672"/>
      <c r="UNT32" s="672"/>
      <c r="UNU32" s="672"/>
      <c r="UNV32" s="672"/>
      <c r="UNW32" s="672"/>
      <c r="UNX32" s="672"/>
      <c r="UNY32" s="672"/>
      <c r="UNZ32" s="672"/>
      <c r="UOA32" s="672"/>
      <c r="UOB32" s="672"/>
      <c r="UOC32" s="672"/>
      <c r="UOD32" s="672"/>
      <c r="UOE32" s="672"/>
      <c r="UOF32" s="672"/>
      <c r="UOG32" s="672"/>
      <c r="UOH32" s="672"/>
      <c r="UOI32" s="672"/>
      <c r="UOJ32" s="672"/>
      <c r="UOK32" s="672"/>
      <c r="UOL32" s="672"/>
      <c r="UOM32" s="672"/>
      <c r="UON32" s="672"/>
      <c r="UOO32" s="672"/>
      <c r="UOP32" s="672"/>
      <c r="UOQ32" s="672"/>
      <c r="UOR32" s="672"/>
      <c r="UOS32" s="672"/>
      <c r="UOT32" s="672"/>
      <c r="UOU32" s="672"/>
      <c r="UOV32" s="672"/>
      <c r="UOW32" s="672"/>
      <c r="UOX32" s="672"/>
      <c r="UOY32" s="672"/>
      <c r="UOZ32" s="672"/>
      <c r="UPA32" s="672"/>
      <c r="UPB32" s="672"/>
      <c r="UPC32" s="672"/>
      <c r="UPD32" s="672"/>
      <c r="UPE32" s="672"/>
      <c r="UPF32" s="672"/>
      <c r="UPG32" s="672"/>
      <c r="UPH32" s="672"/>
      <c r="UPI32" s="672"/>
      <c r="UPJ32" s="672"/>
      <c r="UPK32" s="672"/>
      <c r="UPL32" s="672"/>
      <c r="UPM32" s="672"/>
      <c r="UPN32" s="672"/>
      <c r="UPO32" s="672"/>
      <c r="UPP32" s="672"/>
      <c r="UPQ32" s="672"/>
      <c r="UPR32" s="672"/>
      <c r="UPS32" s="672"/>
      <c r="UPT32" s="672"/>
      <c r="UPU32" s="672"/>
      <c r="UPV32" s="672"/>
      <c r="UPW32" s="672"/>
      <c r="UPX32" s="672"/>
      <c r="UPY32" s="672"/>
      <c r="UPZ32" s="672"/>
      <c r="UQA32" s="672"/>
      <c r="UQB32" s="672"/>
      <c r="UQC32" s="672"/>
      <c r="UQD32" s="672"/>
      <c r="UQE32" s="672"/>
      <c r="UQF32" s="672"/>
      <c r="UQG32" s="672"/>
      <c r="UQH32" s="672"/>
      <c r="UQI32" s="672"/>
      <c r="UQJ32" s="672"/>
      <c r="UQK32" s="672"/>
      <c r="UQL32" s="672"/>
      <c r="UQM32" s="672"/>
      <c r="UQN32" s="672"/>
      <c r="UQO32" s="672"/>
      <c r="UQP32" s="672"/>
      <c r="UQQ32" s="672"/>
      <c r="UQR32" s="672"/>
      <c r="UQS32" s="672"/>
      <c r="UQT32" s="672"/>
      <c r="UQU32" s="672"/>
      <c r="UQV32" s="672"/>
      <c r="UQW32" s="672"/>
      <c r="UQX32" s="672"/>
      <c r="UQY32" s="672"/>
      <c r="UQZ32" s="672"/>
      <c r="URA32" s="672"/>
      <c r="URB32" s="672"/>
      <c r="URC32" s="672"/>
      <c r="URD32" s="672"/>
      <c r="URE32" s="672"/>
      <c r="URF32" s="672"/>
      <c r="URG32" s="672"/>
      <c r="URH32" s="672"/>
      <c r="URI32" s="672"/>
      <c r="URJ32" s="672"/>
      <c r="URK32" s="672"/>
      <c r="URL32" s="672"/>
      <c r="URM32" s="672"/>
      <c r="URN32" s="672"/>
      <c r="URO32" s="672"/>
      <c r="URP32" s="672"/>
      <c r="URQ32" s="672"/>
      <c r="URR32" s="672"/>
      <c r="URS32" s="672"/>
      <c r="URT32" s="672"/>
      <c r="URU32" s="672"/>
      <c r="URV32" s="672"/>
      <c r="URW32" s="672"/>
      <c r="URX32" s="672"/>
      <c r="URY32" s="672"/>
      <c r="URZ32" s="672"/>
      <c r="USA32" s="672"/>
      <c r="USB32" s="672"/>
      <c r="USC32" s="672"/>
      <c r="USD32" s="672"/>
      <c r="USE32" s="672"/>
      <c r="USF32" s="672"/>
      <c r="USG32" s="672"/>
      <c r="USH32" s="672"/>
      <c r="USI32" s="672"/>
      <c r="USJ32" s="672"/>
      <c r="USK32" s="672"/>
      <c r="USL32" s="672"/>
      <c r="USM32" s="672"/>
      <c r="USN32" s="672"/>
      <c r="USO32" s="672"/>
      <c r="USP32" s="672"/>
      <c r="USQ32" s="672"/>
      <c r="USR32" s="672"/>
      <c r="USS32" s="672"/>
      <c r="UST32" s="672"/>
      <c r="USU32" s="672"/>
      <c r="USV32" s="672"/>
      <c r="USW32" s="672"/>
      <c r="USX32" s="672"/>
      <c r="USY32" s="672"/>
      <c r="USZ32" s="672"/>
      <c r="UTA32" s="672"/>
      <c r="UTB32" s="672"/>
      <c r="UTC32" s="672"/>
      <c r="UTD32" s="672"/>
      <c r="UTE32" s="672"/>
      <c r="UTF32" s="672"/>
      <c r="UTG32" s="672"/>
      <c r="UTH32" s="672"/>
      <c r="UTI32" s="672"/>
      <c r="UTJ32" s="672"/>
      <c r="UTK32" s="672"/>
      <c r="UTL32" s="672"/>
      <c r="UTM32" s="672"/>
      <c r="UTN32" s="672"/>
      <c r="UTO32" s="672"/>
      <c r="UTP32" s="672"/>
      <c r="UTQ32" s="672"/>
      <c r="UTR32" s="672"/>
      <c r="UTS32" s="672"/>
      <c r="UTT32" s="672"/>
      <c r="UTU32" s="672"/>
      <c r="UTV32" s="672"/>
      <c r="UTW32" s="672"/>
      <c r="UTX32" s="672"/>
      <c r="UTY32" s="672"/>
      <c r="UTZ32" s="672"/>
      <c r="UUA32" s="672"/>
      <c r="UUB32" s="672"/>
      <c r="UUC32" s="672"/>
      <c r="UUD32" s="672"/>
      <c r="UUE32" s="672"/>
      <c r="UUF32" s="672"/>
      <c r="UUG32" s="672"/>
      <c r="UUH32" s="672"/>
      <c r="UUI32" s="672"/>
      <c r="UUJ32" s="672"/>
      <c r="UUK32" s="672"/>
      <c r="UUL32" s="672"/>
      <c r="UUM32" s="672"/>
      <c r="UUN32" s="672"/>
      <c r="UUO32" s="672"/>
      <c r="UUP32" s="672"/>
      <c r="UUQ32" s="672"/>
      <c r="UUR32" s="672"/>
      <c r="UUS32" s="672"/>
      <c r="UUT32" s="672"/>
      <c r="UUU32" s="672"/>
      <c r="UUV32" s="672"/>
      <c r="UUW32" s="672"/>
      <c r="UUX32" s="672"/>
      <c r="UUY32" s="672"/>
      <c r="UUZ32" s="672"/>
      <c r="UVA32" s="672"/>
      <c r="UVB32" s="672"/>
      <c r="UVC32" s="672"/>
      <c r="UVD32" s="672"/>
      <c r="UVE32" s="672"/>
      <c r="UVF32" s="672"/>
      <c r="UVG32" s="672"/>
      <c r="UVH32" s="672"/>
      <c r="UVI32" s="672"/>
      <c r="UVJ32" s="672"/>
      <c r="UVK32" s="672"/>
      <c r="UVL32" s="672"/>
      <c r="UVM32" s="672"/>
      <c r="UVN32" s="672"/>
      <c r="UVO32" s="672"/>
      <c r="UVP32" s="672"/>
      <c r="UVQ32" s="672"/>
      <c r="UVR32" s="672"/>
      <c r="UVS32" s="672"/>
      <c r="UVT32" s="672"/>
      <c r="UVU32" s="672"/>
      <c r="UVV32" s="672"/>
      <c r="UVW32" s="672"/>
      <c r="UVX32" s="672"/>
      <c r="UVY32" s="672"/>
      <c r="UVZ32" s="672"/>
      <c r="UWA32" s="672"/>
      <c r="UWB32" s="672"/>
      <c r="UWC32" s="672"/>
      <c r="UWD32" s="672"/>
      <c r="UWE32" s="672"/>
      <c r="UWF32" s="672"/>
      <c r="UWG32" s="672"/>
      <c r="UWH32" s="672"/>
      <c r="UWI32" s="672"/>
      <c r="UWJ32" s="672"/>
      <c r="UWK32" s="672"/>
      <c r="UWL32" s="672"/>
      <c r="UWM32" s="672"/>
      <c r="UWN32" s="672"/>
      <c r="UWO32" s="672"/>
      <c r="UWP32" s="672"/>
      <c r="UWQ32" s="672"/>
      <c r="UWR32" s="672"/>
      <c r="UWS32" s="672"/>
      <c r="UWT32" s="672"/>
      <c r="UWU32" s="672"/>
      <c r="UWV32" s="672"/>
      <c r="UWW32" s="672"/>
      <c r="UWX32" s="672"/>
      <c r="UWY32" s="672"/>
      <c r="UWZ32" s="672"/>
      <c r="UXA32" s="672"/>
      <c r="UXB32" s="672"/>
      <c r="UXC32" s="672"/>
      <c r="UXD32" s="672"/>
      <c r="UXE32" s="672"/>
      <c r="UXF32" s="672"/>
      <c r="UXG32" s="672"/>
      <c r="UXH32" s="672"/>
      <c r="UXI32" s="672"/>
      <c r="UXJ32" s="672"/>
      <c r="UXK32" s="672"/>
      <c r="UXL32" s="672"/>
      <c r="UXM32" s="672"/>
      <c r="UXN32" s="672"/>
      <c r="UXO32" s="672"/>
      <c r="UXP32" s="672"/>
      <c r="UXQ32" s="672"/>
      <c r="UXR32" s="672"/>
      <c r="UXS32" s="672"/>
      <c r="UXT32" s="672"/>
      <c r="UXU32" s="672"/>
      <c r="UXV32" s="672"/>
      <c r="UXW32" s="672"/>
      <c r="UXX32" s="672"/>
      <c r="UXY32" s="672"/>
      <c r="UXZ32" s="672"/>
      <c r="UYA32" s="672"/>
      <c r="UYB32" s="672"/>
      <c r="UYC32" s="672"/>
      <c r="UYD32" s="672"/>
      <c r="UYE32" s="672"/>
      <c r="UYF32" s="672"/>
      <c r="UYG32" s="672"/>
      <c r="UYH32" s="672"/>
      <c r="UYI32" s="672"/>
      <c r="UYJ32" s="672"/>
      <c r="UYK32" s="672"/>
      <c r="UYL32" s="672"/>
      <c r="UYM32" s="672"/>
      <c r="UYN32" s="672"/>
      <c r="UYO32" s="672"/>
      <c r="UYP32" s="672"/>
      <c r="UYQ32" s="672"/>
      <c r="UYR32" s="672"/>
      <c r="UYS32" s="672"/>
      <c r="UYT32" s="672"/>
      <c r="UYU32" s="672"/>
      <c r="UYV32" s="672"/>
      <c r="UYW32" s="672"/>
      <c r="UYX32" s="672"/>
      <c r="UYY32" s="672"/>
      <c r="UYZ32" s="672"/>
      <c r="UZA32" s="672"/>
      <c r="UZB32" s="672"/>
      <c r="UZC32" s="672"/>
      <c r="UZD32" s="672"/>
      <c r="UZE32" s="672"/>
      <c r="UZF32" s="672"/>
      <c r="UZG32" s="672"/>
      <c r="UZH32" s="672"/>
      <c r="UZI32" s="672"/>
      <c r="UZJ32" s="672"/>
      <c r="UZK32" s="672"/>
      <c r="UZL32" s="672"/>
      <c r="UZM32" s="672"/>
      <c r="UZN32" s="672"/>
      <c r="UZO32" s="672"/>
      <c r="UZP32" s="672"/>
      <c r="UZQ32" s="672"/>
      <c r="UZR32" s="672"/>
      <c r="UZS32" s="672"/>
      <c r="UZT32" s="672"/>
      <c r="UZU32" s="672"/>
      <c r="UZV32" s="672"/>
      <c r="UZW32" s="672"/>
      <c r="UZX32" s="672"/>
      <c r="UZY32" s="672"/>
      <c r="UZZ32" s="672"/>
      <c r="VAA32" s="672"/>
      <c r="VAB32" s="672"/>
      <c r="VAC32" s="672"/>
      <c r="VAD32" s="672"/>
      <c r="VAE32" s="672"/>
      <c r="VAF32" s="672"/>
      <c r="VAG32" s="672"/>
      <c r="VAH32" s="672"/>
      <c r="VAI32" s="672"/>
      <c r="VAJ32" s="672"/>
      <c r="VAK32" s="672"/>
      <c r="VAL32" s="672"/>
      <c r="VAM32" s="672"/>
      <c r="VAN32" s="672"/>
      <c r="VAO32" s="672"/>
      <c r="VAP32" s="672"/>
      <c r="VAQ32" s="672"/>
      <c r="VAR32" s="672"/>
      <c r="VAS32" s="672"/>
      <c r="VAT32" s="672"/>
      <c r="VAU32" s="672"/>
      <c r="VAV32" s="672"/>
      <c r="VAW32" s="672"/>
      <c r="VAX32" s="672"/>
      <c r="VAY32" s="672"/>
      <c r="VAZ32" s="672"/>
      <c r="VBA32" s="672"/>
      <c r="VBB32" s="672"/>
      <c r="VBC32" s="672"/>
      <c r="VBD32" s="672"/>
      <c r="VBE32" s="672"/>
      <c r="VBF32" s="672"/>
      <c r="VBG32" s="672"/>
      <c r="VBH32" s="672"/>
      <c r="VBI32" s="672"/>
      <c r="VBJ32" s="672"/>
      <c r="VBK32" s="672"/>
      <c r="VBL32" s="672"/>
      <c r="VBM32" s="672"/>
      <c r="VBN32" s="672"/>
      <c r="VBO32" s="672"/>
      <c r="VBP32" s="672"/>
      <c r="VBQ32" s="672"/>
      <c r="VBR32" s="672"/>
      <c r="VBS32" s="672"/>
      <c r="VBT32" s="672"/>
      <c r="VBU32" s="672"/>
      <c r="VBV32" s="672"/>
      <c r="VBW32" s="672"/>
      <c r="VBX32" s="672"/>
      <c r="VBY32" s="672"/>
      <c r="VBZ32" s="672"/>
      <c r="VCA32" s="672"/>
      <c r="VCB32" s="672"/>
      <c r="VCC32" s="672"/>
      <c r="VCD32" s="672"/>
      <c r="VCE32" s="672"/>
      <c r="VCF32" s="672"/>
      <c r="VCG32" s="672"/>
      <c r="VCH32" s="672"/>
      <c r="VCI32" s="672"/>
      <c r="VCJ32" s="672"/>
      <c r="VCK32" s="672"/>
      <c r="VCL32" s="672"/>
      <c r="VCM32" s="672"/>
      <c r="VCN32" s="672"/>
      <c r="VCO32" s="672"/>
      <c r="VCP32" s="672"/>
      <c r="VCQ32" s="672"/>
      <c r="VCR32" s="672"/>
      <c r="VCS32" s="672"/>
      <c r="VCT32" s="672"/>
      <c r="VCU32" s="672"/>
      <c r="VCV32" s="672"/>
      <c r="VCW32" s="672"/>
      <c r="VCX32" s="672"/>
      <c r="VCY32" s="672"/>
      <c r="VCZ32" s="672"/>
      <c r="VDA32" s="672"/>
      <c r="VDB32" s="672"/>
      <c r="VDC32" s="672"/>
      <c r="VDD32" s="672"/>
      <c r="VDE32" s="672"/>
      <c r="VDF32" s="672"/>
      <c r="VDG32" s="672"/>
      <c r="VDH32" s="672"/>
      <c r="VDI32" s="672"/>
      <c r="VDJ32" s="672"/>
      <c r="VDK32" s="672"/>
      <c r="VDL32" s="672"/>
      <c r="VDM32" s="672"/>
      <c r="VDN32" s="672"/>
      <c r="VDO32" s="672"/>
      <c r="VDP32" s="672"/>
      <c r="VDQ32" s="672"/>
      <c r="VDR32" s="672"/>
      <c r="VDS32" s="672"/>
      <c r="VDT32" s="672"/>
      <c r="VDU32" s="672"/>
      <c r="VDV32" s="672"/>
      <c r="VDW32" s="672"/>
      <c r="VDX32" s="672"/>
      <c r="VDY32" s="672"/>
      <c r="VDZ32" s="672"/>
      <c r="VEA32" s="672"/>
      <c r="VEB32" s="672"/>
      <c r="VEC32" s="672"/>
      <c r="VED32" s="672"/>
      <c r="VEE32" s="672"/>
      <c r="VEF32" s="672"/>
      <c r="VEG32" s="672"/>
      <c r="VEH32" s="672"/>
      <c r="VEI32" s="672"/>
      <c r="VEJ32" s="672"/>
      <c r="VEK32" s="672"/>
      <c r="VEL32" s="672"/>
      <c r="VEM32" s="672"/>
      <c r="VEN32" s="672"/>
      <c r="VEO32" s="672"/>
      <c r="VEP32" s="672"/>
      <c r="VEQ32" s="672"/>
      <c r="VER32" s="672"/>
      <c r="VES32" s="672"/>
      <c r="VET32" s="672"/>
      <c r="VEU32" s="672"/>
      <c r="VEV32" s="672"/>
      <c r="VEW32" s="672"/>
      <c r="VEX32" s="672"/>
      <c r="VEY32" s="672"/>
      <c r="VEZ32" s="672"/>
      <c r="VFA32" s="672"/>
      <c r="VFB32" s="672"/>
      <c r="VFC32" s="672"/>
      <c r="VFD32" s="672"/>
      <c r="VFE32" s="672"/>
      <c r="VFF32" s="672"/>
      <c r="VFG32" s="672"/>
      <c r="VFH32" s="672"/>
      <c r="VFI32" s="672"/>
      <c r="VFJ32" s="672"/>
      <c r="VFK32" s="672"/>
      <c r="VFL32" s="672"/>
      <c r="VFM32" s="672"/>
      <c r="VFN32" s="672"/>
      <c r="VFO32" s="672"/>
      <c r="VFP32" s="672"/>
      <c r="VFQ32" s="672"/>
      <c r="VFR32" s="672"/>
      <c r="VFS32" s="672"/>
      <c r="VFT32" s="672"/>
      <c r="VFU32" s="672"/>
      <c r="VFV32" s="672"/>
      <c r="VFW32" s="672"/>
      <c r="VFX32" s="672"/>
      <c r="VFY32" s="672"/>
      <c r="VFZ32" s="672"/>
      <c r="VGA32" s="672"/>
      <c r="VGB32" s="672"/>
      <c r="VGC32" s="672"/>
      <c r="VGD32" s="672"/>
      <c r="VGE32" s="672"/>
      <c r="VGF32" s="672"/>
      <c r="VGG32" s="672"/>
      <c r="VGH32" s="672"/>
      <c r="VGI32" s="672"/>
      <c r="VGJ32" s="672"/>
      <c r="VGK32" s="672"/>
      <c r="VGL32" s="672"/>
      <c r="VGM32" s="672"/>
      <c r="VGN32" s="672"/>
      <c r="VGO32" s="672"/>
      <c r="VGP32" s="672"/>
      <c r="VGQ32" s="672"/>
      <c r="VGR32" s="672"/>
      <c r="VGS32" s="672"/>
      <c r="VGT32" s="672"/>
      <c r="VGU32" s="672"/>
      <c r="VGV32" s="672"/>
      <c r="VGW32" s="672"/>
      <c r="VGX32" s="672"/>
      <c r="VGY32" s="672"/>
      <c r="VGZ32" s="672"/>
      <c r="VHA32" s="672"/>
      <c r="VHB32" s="672"/>
      <c r="VHC32" s="672"/>
      <c r="VHD32" s="672"/>
      <c r="VHE32" s="672"/>
      <c r="VHF32" s="672"/>
      <c r="VHG32" s="672"/>
      <c r="VHH32" s="672"/>
      <c r="VHI32" s="672"/>
      <c r="VHJ32" s="672"/>
      <c r="VHK32" s="672"/>
      <c r="VHL32" s="672"/>
      <c r="VHM32" s="672"/>
      <c r="VHN32" s="672"/>
      <c r="VHO32" s="672"/>
      <c r="VHP32" s="672"/>
      <c r="VHQ32" s="672"/>
      <c r="VHR32" s="672"/>
      <c r="VHS32" s="672"/>
      <c r="VHT32" s="672"/>
      <c r="VHU32" s="672"/>
      <c r="VHV32" s="672"/>
      <c r="VHW32" s="672"/>
      <c r="VHX32" s="672"/>
      <c r="VHY32" s="672"/>
      <c r="VHZ32" s="672"/>
      <c r="VIA32" s="672"/>
      <c r="VIB32" s="672"/>
      <c r="VIC32" s="672"/>
      <c r="VID32" s="672"/>
      <c r="VIE32" s="672"/>
      <c r="VIF32" s="672"/>
      <c r="VIG32" s="672"/>
      <c r="VIH32" s="672"/>
      <c r="VII32" s="672"/>
      <c r="VIJ32" s="672"/>
      <c r="VIK32" s="672"/>
      <c r="VIL32" s="672"/>
      <c r="VIM32" s="672"/>
      <c r="VIN32" s="672"/>
      <c r="VIO32" s="672"/>
      <c r="VIP32" s="672"/>
      <c r="VIQ32" s="672"/>
      <c r="VIR32" s="672"/>
      <c r="VIS32" s="672"/>
      <c r="VIT32" s="672"/>
      <c r="VIU32" s="672"/>
      <c r="VIV32" s="672"/>
      <c r="VIW32" s="672"/>
      <c r="VIX32" s="672"/>
      <c r="VIY32" s="672"/>
      <c r="VIZ32" s="672"/>
      <c r="VJA32" s="672"/>
      <c r="VJB32" s="672"/>
      <c r="VJC32" s="672"/>
      <c r="VJD32" s="672"/>
      <c r="VJE32" s="672"/>
      <c r="VJF32" s="672"/>
      <c r="VJG32" s="672"/>
      <c r="VJH32" s="672"/>
      <c r="VJI32" s="672"/>
      <c r="VJJ32" s="672"/>
      <c r="VJK32" s="672"/>
      <c r="VJL32" s="672"/>
      <c r="VJM32" s="672"/>
      <c r="VJN32" s="672"/>
      <c r="VJO32" s="672"/>
      <c r="VJP32" s="672"/>
      <c r="VJQ32" s="672"/>
      <c r="VJR32" s="672"/>
      <c r="VJS32" s="672"/>
      <c r="VJT32" s="672"/>
      <c r="VJU32" s="672"/>
      <c r="VJV32" s="672"/>
      <c r="VJW32" s="672"/>
      <c r="VJX32" s="672"/>
      <c r="VJY32" s="672"/>
      <c r="VJZ32" s="672"/>
      <c r="VKA32" s="672"/>
      <c r="VKB32" s="672"/>
      <c r="VKC32" s="672"/>
      <c r="VKD32" s="672"/>
      <c r="VKE32" s="672"/>
      <c r="VKF32" s="672"/>
      <c r="VKG32" s="672"/>
      <c r="VKH32" s="672"/>
      <c r="VKI32" s="672"/>
      <c r="VKJ32" s="672"/>
      <c r="VKK32" s="672"/>
      <c r="VKL32" s="672"/>
      <c r="VKM32" s="672"/>
      <c r="VKN32" s="672"/>
      <c r="VKO32" s="672"/>
      <c r="VKP32" s="672"/>
      <c r="VKQ32" s="672"/>
      <c r="VKR32" s="672"/>
      <c r="VKS32" s="672"/>
      <c r="VKT32" s="672"/>
      <c r="VKU32" s="672"/>
      <c r="VKV32" s="672"/>
      <c r="VKW32" s="672"/>
      <c r="VKX32" s="672"/>
      <c r="VKY32" s="672"/>
      <c r="VKZ32" s="672"/>
      <c r="VLA32" s="672"/>
      <c r="VLB32" s="672"/>
      <c r="VLC32" s="672"/>
      <c r="VLD32" s="672"/>
      <c r="VLE32" s="672"/>
      <c r="VLF32" s="672"/>
      <c r="VLG32" s="672"/>
      <c r="VLH32" s="672"/>
      <c r="VLI32" s="672"/>
      <c r="VLJ32" s="672"/>
      <c r="VLK32" s="672"/>
      <c r="VLL32" s="672"/>
      <c r="VLM32" s="672"/>
      <c r="VLN32" s="672"/>
      <c r="VLO32" s="672"/>
      <c r="VLP32" s="672"/>
      <c r="VLQ32" s="672"/>
      <c r="VLR32" s="672"/>
      <c r="VLS32" s="672"/>
      <c r="VLT32" s="672"/>
      <c r="VLU32" s="672"/>
      <c r="VLV32" s="672"/>
      <c r="VLW32" s="672"/>
      <c r="VLX32" s="672"/>
      <c r="VLY32" s="672"/>
      <c r="VLZ32" s="672"/>
      <c r="VMA32" s="672"/>
      <c r="VMB32" s="672"/>
      <c r="VMC32" s="672"/>
      <c r="VMD32" s="672"/>
      <c r="VME32" s="672"/>
      <c r="VMF32" s="672"/>
      <c r="VMG32" s="672"/>
      <c r="VMH32" s="672"/>
      <c r="VMI32" s="672"/>
      <c r="VMJ32" s="672"/>
      <c r="VMK32" s="672"/>
      <c r="VML32" s="672"/>
      <c r="VMM32" s="672"/>
      <c r="VMN32" s="672"/>
      <c r="VMO32" s="672"/>
      <c r="VMP32" s="672"/>
      <c r="VMQ32" s="672"/>
      <c r="VMR32" s="672"/>
      <c r="VMS32" s="672"/>
      <c r="VMT32" s="672"/>
      <c r="VMU32" s="672"/>
      <c r="VMV32" s="672"/>
      <c r="VMW32" s="672"/>
      <c r="VMX32" s="672"/>
      <c r="VMY32" s="672"/>
      <c r="VMZ32" s="672"/>
      <c r="VNA32" s="672"/>
      <c r="VNB32" s="672"/>
      <c r="VNC32" s="672"/>
      <c r="VND32" s="672"/>
      <c r="VNE32" s="672"/>
      <c r="VNF32" s="672"/>
      <c r="VNG32" s="672"/>
      <c r="VNH32" s="672"/>
      <c r="VNI32" s="672"/>
      <c r="VNJ32" s="672"/>
      <c r="VNK32" s="672"/>
      <c r="VNL32" s="672"/>
      <c r="VNM32" s="672"/>
      <c r="VNN32" s="672"/>
      <c r="VNO32" s="672"/>
      <c r="VNP32" s="672"/>
      <c r="VNQ32" s="672"/>
      <c r="VNR32" s="672"/>
      <c r="VNS32" s="672"/>
      <c r="VNT32" s="672"/>
      <c r="VNU32" s="672"/>
      <c r="VNV32" s="672"/>
      <c r="VNW32" s="672"/>
      <c r="VNX32" s="672"/>
      <c r="VNY32" s="672"/>
      <c r="VNZ32" s="672"/>
      <c r="VOA32" s="672"/>
      <c r="VOB32" s="672"/>
      <c r="VOC32" s="672"/>
      <c r="VOD32" s="672"/>
      <c r="VOE32" s="672"/>
      <c r="VOF32" s="672"/>
      <c r="VOG32" s="672"/>
      <c r="VOH32" s="672"/>
      <c r="VOI32" s="672"/>
      <c r="VOJ32" s="672"/>
      <c r="VOK32" s="672"/>
      <c r="VOL32" s="672"/>
      <c r="VOM32" s="672"/>
      <c r="VON32" s="672"/>
      <c r="VOO32" s="672"/>
      <c r="VOP32" s="672"/>
      <c r="VOQ32" s="672"/>
      <c r="VOR32" s="672"/>
      <c r="VOS32" s="672"/>
      <c r="VOT32" s="672"/>
      <c r="VOU32" s="672"/>
      <c r="VOV32" s="672"/>
      <c r="VOW32" s="672"/>
      <c r="VOX32" s="672"/>
      <c r="VOY32" s="672"/>
      <c r="VOZ32" s="672"/>
      <c r="VPA32" s="672"/>
      <c r="VPB32" s="672"/>
      <c r="VPC32" s="672"/>
      <c r="VPD32" s="672"/>
      <c r="VPE32" s="672"/>
      <c r="VPF32" s="672"/>
      <c r="VPG32" s="672"/>
      <c r="VPH32" s="672"/>
      <c r="VPI32" s="672"/>
      <c r="VPJ32" s="672"/>
      <c r="VPK32" s="672"/>
      <c r="VPL32" s="672"/>
      <c r="VPM32" s="672"/>
      <c r="VPN32" s="672"/>
      <c r="VPO32" s="672"/>
      <c r="VPP32" s="672"/>
      <c r="VPQ32" s="672"/>
      <c r="VPR32" s="672"/>
      <c r="VPS32" s="672"/>
      <c r="VPT32" s="672"/>
      <c r="VPU32" s="672"/>
      <c r="VPV32" s="672"/>
      <c r="VPW32" s="672"/>
      <c r="VPX32" s="672"/>
      <c r="VPY32" s="672"/>
      <c r="VPZ32" s="672"/>
      <c r="VQA32" s="672"/>
      <c r="VQB32" s="672"/>
      <c r="VQC32" s="672"/>
      <c r="VQD32" s="672"/>
      <c r="VQE32" s="672"/>
      <c r="VQF32" s="672"/>
      <c r="VQG32" s="672"/>
      <c r="VQH32" s="672"/>
      <c r="VQI32" s="672"/>
      <c r="VQJ32" s="672"/>
      <c r="VQK32" s="672"/>
      <c r="VQL32" s="672"/>
      <c r="VQM32" s="672"/>
      <c r="VQN32" s="672"/>
      <c r="VQO32" s="672"/>
      <c r="VQP32" s="672"/>
      <c r="VQQ32" s="672"/>
      <c r="VQR32" s="672"/>
      <c r="VQS32" s="672"/>
      <c r="VQT32" s="672"/>
      <c r="VQU32" s="672"/>
      <c r="VQV32" s="672"/>
      <c r="VQW32" s="672"/>
      <c r="VQX32" s="672"/>
      <c r="VQY32" s="672"/>
      <c r="VQZ32" s="672"/>
      <c r="VRA32" s="672"/>
      <c r="VRB32" s="672"/>
      <c r="VRC32" s="672"/>
      <c r="VRD32" s="672"/>
      <c r="VRE32" s="672"/>
      <c r="VRF32" s="672"/>
      <c r="VRG32" s="672"/>
      <c r="VRH32" s="672"/>
      <c r="VRI32" s="672"/>
      <c r="VRJ32" s="672"/>
      <c r="VRK32" s="672"/>
      <c r="VRL32" s="672"/>
      <c r="VRM32" s="672"/>
      <c r="VRN32" s="672"/>
      <c r="VRO32" s="672"/>
      <c r="VRP32" s="672"/>
      <c r="VRQ32" s="672"/>
      <c r="VRR32" s="672"/>
      <c r="VRS32" s="672"/>
      <c r="VRT32" s="672"/>
      <c r="VRU32" s="672"/>
      <c r="VRV32" s="672"/>
      <c r="VRW32" s="672"/>
      <c r="VRX32" s="672"/>
      <c r="VRY32" s="672"/>
      <c r="VRZ32" s="672"/>
      <c r="VSA32" s="672"/>
      <c r="VSB32" s="672"/>
      <c r="VSC32" s="672"/>
      <c r="VSD32" s="672"/>
      <c r="VSE32" s="672"/>
      <c r="VSF32" s="672"/>
      <c r="VSG32" s="672"/>
      <c r="VSH32" s="672"/>
      <c r="VSI32" s="672"/>
      <c r="VSJ32" s="672"/>
      <c r="VSK32" s="672"/>
      <c r="VSL32" s="672"/>
      <c r="VSM32" s="672"/>
      <c r="VSN32" s="672"/>
      <c r="VSO32" s="672"/>
      <c r="VSP32" s="672"/>
      <c r="VSQ32" s="672"/>
      <c r="VSR32" s="672"/>
      <c r="VSS32" s="672"/>
      <c r="VST32" s="672"/>
      <c r="VSU32" s="672"/>
      <c r="VSV32" s="672"/>
      <c r="VSW32" s="672"/>
      <c r="VSX32" s="672"/>
      <c r="VSY32" s="672"/>
      <c r="VSZ32" s="672"/>
      <c r="VTA32" s="672"/>
      <c r="VTB32" s="672"/>
      <c r="VTC32" s="672"/>
      <c r="VTD32" s="672"/>
      <c r="VTE32" s="672"/>
      <c r="VTF32" s="672"/>
      <c r="VTG32" s="672"/>
      <c r="VTH32" s="672"/>
      <c r="VTI32" s="672"/>
      <c r="VTJ32" s="672"/>
      <c r="VTK32" s="672"/>
      <c r="VTL32" s="672"/>
      <c r="VTM32" s="672"/>
      <c r="VTN32" s="672"/>
      <c r="VTO32" s="672"/>
      <c r="VTP32" s="672"/>
      <c r="VTQ32" s="672"/>
      <c r="VTR32" s="672"/>
      <c r="VTS32" s="672"/>
      <c r="VTT32" s="672"/>
      <c r="VTU32" s="672"/>
      <c r="VTV32" s="672"/>
      <c r="VTW32" s="672"/>
      <c r="VTX32" s="672"/>
      <c r="VTY32" s="672"/>
      <c r="VTZ32" s="672"/>
      <c r="VUA32" s="672"/>
      <c r="VUB32" s="672"/>
      <c r="VUC32" s="672"/>
      <c r="VUD32" s="672"/>
      <c r="VUE32" s="672"/>
      <c r="VUF32" s="672"/>
      <c r="VUG32" s="672"/>
      <c r="VUH32" s="672"/>
      <c r="VUI32" s="672"/>
      <c r="VUJ32" s="672"/>
      <c r="VUK32" s="672"/>
      <c r="VUL32" s="672"/>
      <c r="VUM32" s="672"/>
      <c r="VUN32" s="672"/>
      <c r="VUO32" s="672"/>
      <c r="VUP32" s="672"/>
      <c r="VUQ32" s="672"/>
      <c r="VUR32" s="672"/>
      <c r="VUS32" s="672"/>
      <c r="VUT32" s="672"/>
      <c r="VUU32" s="672"/>
      <c r="VUV32" s="672"/>
      <c r="VUW32" s="672"/>
      <c r="VUX32" s="672"/>
      <c r="VUY32" s="672"/>
      <c r="VUZ32" s="672"/>
      <c r="VVA32" s="672"/>
      <c r="VVB32" s="672"/>
      <c r="VVC32" s="672"/>
      <c r="VVD32" s="672"/>
      <c r="VVE32" s="672"/>
      <c r="VVF32" s="672"/>
      <c r="VVG32" s="672"/>
      <c r="VVH32" s="672"/>
      <c r="VVI32" s="672"/>
      <c r="VVJ32" s="672"/>
      <c r="VVK32" s="672"/>
      <c r="VVL32" s="672"/>
      <c r="VVM32" s="672"/>
      <c r="VVN32" s="672"/>
      <c r="VVO32" s="672"/>
      <c r="VVP32" s="672"/>
      <c r="VVQ32" s="672"/>
      <c r="VVR32" s="672"/>
      <c r="VVS32" s="672"/>
      <c r="VVT32" s="672"/>
      <c r="VVU32" s="672"/>
      <c r="VVV32" s="672"/>
      <c r="VVW32" s="672"/>
      <c r="VVX32" s="672"/>
      <c r="VVY32" s="672"/>
      <c r="VVZ32" s="672"/>
      <c r="VWA32" s="672"/>
      <c r="VWB32" s="672"/>
      <c r="VWC32" s="672"/>
      <c r="VWD32" s="672"/>
      <c r="VWE32" s="672"/>
      <c r="VWF32" s="672"/>
      <c r="VWG32" s="672"/>
      <c r="VWH32" s="672"/>
      <c r="VWI32" s="672"/>
      <c r="VWJ32" s="672"/>
      <c r="VWK32" s="672"/>
      <c r="VWL32" s="672"/>
      <c r="VWM32" s="672"/>
      <c r="VWN32" s="672"/>
      <c r="VWO32" s="672"/>
      <c r="VWP32" s="672"/>
      <c r="VWQ32" s="672"/>
      <c r="VWR32" s="672"/>
      <c r="VWS32" s="672"/>
      <c r="VWT32" s="672"/>
      <c r="VWU32" s="672"/>
      <c r="VWV32" s="672"/>
      <c r="VWW32" s="672"/>
      <c r="VWX32" s="672"/>
      <c r="VWY32" s="672"/>
      <c r="VWZ32" s="672"/>
      <c r="VXA32" s="672"/>
      <c r="VXB32" s="672"/>
      <c r="VXC32" s="672"/>
      <c r="VXD32" s="672"/>
      <c r="VXE32" s="672"/>
      <c r="VXF32" s="672"/>
      <c r="VXG32" s="672"/>
      <c r="VXH32" s="672"/>
      <c r="VXI32" s="672"/>
      <c r="VXJ32" s="672"/>
      <c r="VXK32" s="672"/>
      <c r="VXL32" s="672"/>
      <c r="VXM32" s="672"/>
      <c r="VXN32" s="672"/>
      <c r="VXO32" s="672"/>
      <c r="VXP32" s="672"/>
      <c r="VXQ32" s="672"/>
      <c r="VXR32" s="672"/>
      <c r="VXS32" s="672"/>
      <c r="VXT32" s="672"/>
      <c r="VXU32" s="672"/>
      <c r="VXV32" s="672"/>
      <c r="VXW32" s="672"/>
      <c r="VXX32" s="672"/>
      <c r="VXY32" s="672"/>
      <c r="VXZ32" s="672"/>
      <c r="VYA32" s="672"/>
      <c r="VYB32" s="672"/>
      <c r="VYC32" s="672"/>
      <c r="VYD32" s="672"/>
      <c r="VYE32" s="672"/>
      <c r="VYF32" s="672"/>
      <c r="VYG32" s="672"/>
      <c r="VYH32" s="672"/>
      <c r="VYI32" s="672"/>
      <c r="VYJ32" s="672"/>
      <c r="VYK32" s="672"/>
      <c r="VYL32" s="672"/>
      <c r="VYM32" s="672"/>
      <c r="VYN32" s="672"/>
      <c r="VYO32" s="672"/>
      <c r="VYP32" s="672"/>
      <c r="VYQ32" s="672"/>
      <c r="VYR32" s="672"/>
      <c r="VYS32" s="672"/>
      <c r="VYT32" s="672"/>
      <c r="VYU32" s="672"/>
      <c r="VYV32" s="672"/>
      <c r="VYW32" s="672"/>
      <c r="VYX32" s="672"/>
      <c r="VYY32" s="672"/>
      <c r="VYZ32" s="672"/>
      <c r="VZA32" s="672"/>
      <c r="VZB32" s="672"/>
      <c r="VZC32" s="672"/>
      <c r="VZD32" s="672"/>
      <c r="VZE32" s="672"/>
      <c r="VZF32" s="672"/>
      <c r="VZG32" s="672"/>
      <c r="VZH32" s="672"/>
      <c r="VZI32" s="672"/>
      <c r="VZJ32" s="672"/>
      <c r="VZK32" s="672"/>
      <c r="VZL32" s="672"/>
      <c r="VZM32" s="672"/>
      <c r="VZN32" s="672"/>
      <c r="VZO32" s="672"/>
      <c r="VZP32" s="672"/>
      <c r="VZQ32" s="672"/>
      <c r="VZR32" s="672"/>
      <c r="VZS32" s="672"/>
      <c r="VZT32" s="672"/>
      <c r="VZU32" s="672"/>
      <c r="VZV32" s="672"/>
      <c r="VZW32" s="672"/>
      <c r="VZX32" s="672"/>
      <c r="VZY32" s="672"/>
      <c r="VZZ32" s="672"/>
      <c r="WAA32" s="672"/>
      <c r="WAB32" s="672"/>
      <c r="WAC32" s="672"/>
      <c r="WAD32" s="672"/>
      <c r="WAE32" s="672"/>
      <c r="WAF32" s="672"/>
      <c r="WAG32" s="672"/>
      <c r="WAH32" s="672"/>
      <c r="WAI32" s="672"/>
      <c r="WAJ32" s="672"/>
      <c r="WAK32" s="672"/>
      <c r="WAL32" s="672"/>
      <c r="WAM32" s="672"/>
      <c r="WAN32" s="672"/>
      <c r="WAO32" s="672"/>
      <c r="WAP32" s="672"/>
      <c r="WAQ32" s="672"/>
      <c r="WAR32" s="672"/>
      <c r="WAS32" s="672"/>
      <c r="WAT32" s="672"/>
      <c r="WAU32" s="672"/>
      <c r="WAV32" s="672"/>
      <c r="WAW32" s="672"/>
      <c r="WAX32" s="672"/>
      <c r="WAY32" s="672"/>
      <c r="WAZ32" s="672"/>
      <c r="WBA32" s="672"/>
      <c r="WBB32" s="672"/>
      <c r="WBC32" s="672"/>
      <c r="WBD32" s="672"/>
      <c r="WBE32" s="672"/>
      <c r="WBF32" s="672"/>
      <c r="WBG32" s="672"/>
      <c r="WBH32" s="672"/>
      <c r="WBI32" s="672"/>
      <c r="WBJ32" s="672"/>
      <c r="WBK32" s="672"/>
      <c r="WBL32" s="672"/>
      <c r="WBM32" s="672"/>
      <c r="WBN32" s="672"/>
      <c r="WBO32" s="672"/>
      <c r="WBP32" s="672"/>
      <c r="WBQ32" s="672"/>
      <c r="WBR32" s="672"/>
      <c r="WBS32" s="672"/>
      <c r="WBT32" s="672"/>
      <c r="WBU32" s="672"/>
      <c r="WBV32" s="672"/>
      <c r="WBW32" s="672"/>
      <c r="WBX32" s="672"/>
      <c r="WBY32" s="672"/>
      <c r="WBZ32" s="672"/>
      <c r="WCA32" s="672"/>
      <c r="WCB32" s="672"/>
      <c r="WCC32" s="672"/>
      <c r="WCD32" s="672"/>
      <c r="WCE32" s="672"/>
      <c r="WCF32" s="672"/>
      <c r="WCG32" s="672"/>
      <c r="WCH32" s="672"/>
      <c r="WCI32" s="672"/>
      <c r="WCJ32" s="672"/>
      <c r="WCK32" s="672"/>
      <c r="WCL32" s="672"/>
      <c r="WCM32" s="672"/>
      <c r="WCN32" s="672"/>
      <c r="WCO32" s="672"/>
      <c r="WCP32" s="672"/>
      <c r="WCQ32" s="672"/>
      <c r="WCR32" s="672"/>
      <c r="WCS32" s="672"/>
      <c r="WCT32" s="672"/>
      <c r="WCU32" s="672"/>
      <c r="WCV32" s="672"/>
      <c r="WCW32" s="672"/>
      <c r="WCX32" s="672"/>
      <c r="WCY32" s="672"/>
      <c r="WCZ32" s="672"/>
      <c r="WDA32" s="672"/>
      <c r="WDB32" s="672"/>
      <c r="WDC32" s="672"/>
      <c r="WDD32" s="672"/>
      <c r="WDE32" s="672"/>
      <c r="WDF32" s="672"/>
      <c r="WDG32" s="672"/>
      <c r="WDH32" s="672"/>
      <c r="WDI32" s="672"/>
      <c r="WDJ32" s="672"/>
      <c r="WDK32" s="672"/>
      <c r="WDL32" s="672"/>
      <c r="WDM32" s="672"/>
      <c r="WDN32" s="672"/>
      <c r="WDO32" s="672"/>
      <c r="WDP32" s="672"/>
      <c r="WDQ32" s="672"/>
      <c r="WDR32" s="672"/>
      <c r="WDS32" s="672"/>
      <c r="WDT32" s="672"/>
      <c r="WDU32" s="672"/>
      <c r="WDV32" s="672"/>
      <c r="WDW32" s="672"/>
      <c r="WDX32" s="672"/>
      <c r="WDY32" s="672"/>
      <c r="WDZ32" s="672"/>
      <c r="WEA32" s="672"/>
      <c r="WEB32" s="672"/>
      <c r="WEC32" s="672"/>
      <c r="WED32" s="672"/>
      <c r="WEE32" s="672"/>
      <c r="WEF32" s="672"/>
      <c r="WEG32" s="672"/>
      <c r="WEH32" s="672"/>
      <c r="WEI32" s="672"/>
      <c r="WEJ32" s="672"/>
      <c r="WEK32" s="672"/>
      <c r="WEL32" s="672"/>
      <c r="WEM32" s="672"/>
      <c r="WEN32" s="672"/>
      <c r="WEO32" s="672"/>
      <c r="WEP32" s="672"/>
      <c r="WEQ32" s="672"/>
      <c r="WER32" s="672"/>
      <c r="WES32" s="672"/>
      <c r="WET32" s="672"/>
      <c r="WEU32" s="672"/>
      <c r="WEV32" s="672"/>
      <c r="WEW32" s="672"/>
      <c r="WEX32" s="672"/>
      <c r="WEY32" s="672"/>
      <c r="WEZ32" s="672"/>
      <c r="WFA32" s="672"/>
      <c r="WFB32" s="672"/>
      <c r="WFC32" s="672"/>
      <c r="WFD32" s="672"/>
      <c r="WFE32" s="672"/>
      <c r="WFF32" s="672"/>
      <c r="WFG32" s="672"/>
      <c r="WFH32" s="672"/>
      <c r="WFI32" s="672"/>
      <c r="WFJ32" s="672"/>
      <c r="WFK32" s="672"/>
      <c r="WFL32" s="672"/>
      <c r="WFM32" s="672"/>
      <c r="WFN32" s="672"/>
      <c r="WFO32" s="672"/>
      <c r="WFP32" s="672"/>
      <c r="WFQ32" s="672"/>
      <c r="WFR32" s="672"/>
      <c r="WFS32" s="672"/>
      <c r="WFT32" s="672"/>
      <c r="WFU32" s="672"/>
      <c r="WFV32" s="672"/>
      <c r="WFW32" s="672"/>
      <c r="WFX32" s="672"/>
      <c r="WFY32" s="672"/>
      <c r="WFZ32" s="672"/>
      <c r="WGA32" s="672"/>
      <c r="WGB32" s="672"/>
      <c r="WGC32" s="672"/>
      <c r="WGD32" s="672"/>
      <c r="WGE32" s="672"/>
      <c r="WGF32" s="672"/>
      <c r="WGG32" s="672"/>
      <c r="WGH32" s="672"/>
      <c r="WGI32" s="672"/>
      <c r="WGJ32" s="672"/>
      <c r="WGK32" s="672"/>
      <c r="WGL32" s="672"/>
      <c r="WGM32" s="672"/>
      <c r="WGN32" s="672"/>
      <c r="WGO32" s="672"/>
      <c r="WGP32" s="672"/>
      <c r="WGQ32" s="672"/>
      <c r="WGR32" s="672"/>
      <c r="WGS32" s="672"/>
      <c r="WGT32" s="672"/>
      <c r="WGU32" s="672"/>
      <c r="WGV32" s="672"/>
      <c r="WGW32" s="672"/>
      <c r="WGX32" s="672"/>
      <c r="WGY32" s="672"/>
      <c r="WGZ32" s="672"/>
      <c r="WHA32" s="672"/>
      <c r="WHB32" s="672"/>
      <c r="WHC32" s="672"/>
      <c r="WHD32" s="672"/>
      <c r="WHE32" s="672"/>
      <c r="WHF32" s="672"/>
      <c r="WHG32" s="672"/>
      <c r="WHH32" s="672"/>
      <c r="WHI32" s="672"/>
      <c r="WHJ32" s="672"/>
      <c r="WHK32" s="672"/>
      <c r="WHL32" s="672"/>
      <c r="WHM32" s="672"/>
      <c r="WHN32" s="672"/>
      <c r="WHO32" s="672"/>
      <c r="WHP32" s="672"/>
      <c r="WHQ32" s="672"/>
      <c r="WHR32" s="672"/>
      <c r="WHS32" s="672"/>
      <c r="WHT32" s="672"/>
      <c r="WHU32" s="672"/>
      <c r="WHV32" s="672"/>
      <c r="WHW32" s="672"/>
      <c r="WHX32" s="672"/>
      <c r="WHY32" s="672"/>
      <c r="WHZ32" s="672"/>
      <c r="WIA32" s="672"/>
      <c r="WIB32" s="672"/>
      <c r="WIC32" s="672"/>
      <c r="WID32" s="672"/>
      <c r="WIE32" s="672"/>
      <c r="WIF32" s="672"/>
      <c r="WIG32" s="672"/>
      <c r="WIH32" s="672"/>
      <c r="WII32" s="672"/>
      <c r="WIJ32" s="672"/>
      <c r="WIK32" s="672"/>
      <c r="WIL32" s="672"/>
      <c r="WIM32" s="672"/>
      <c r="WIN32" s="672"/>
      <c r="WIO32" s="672"/>
      <c r="WIP32" s="672"/>
      <c r="WIQ32" s="672"/>
      <c r="WIR32" s="672"/>
      <c r="WIS32" s="672"/>
      <c r="WIT32" s="672"/>
      <c r="WIU32" s="672"/>
      <c r="WIV32" s="672"/>
      <c r="WIW32" s="672"/>
      <c r="WIX32" s="672"/>
      <c r="WIY32" s="672"/>
      <c r="WIZ32" s="672"/>
      <c r="WJA32" s="672"/>
      <c r="WJB32" s="672"/>
      <c r="WJC32" s="672"/>
      <c r="WJD32" s="672"/>
      <c r="WJE32" s="672"/>
      <c r="WJF32" s="672"/>
      <c r="WJG32" s="672"/>
      <c r="WJH32" s="672"/>
      <c r="WJI32" s="672"/>
      <c r="WJJ32" s="672"/>
      <c r="WJK32" s="672"/>
      <c r="WJL32" s="672"/>
      <c r="WJM32" s="672"/>
      <c r="WJN32" s="672"/>
      <c r="WJO32" s="672"/>
      <c r="WJP32" s="672"/>
      <c r="WJQ32" s="672"/>
      <c r="WJR32" s="672"/>
      <c r="WJS32" s="672"/>
      <c r="WJT32" s="672"/>
      <c r="WJU32" s="672"/>
      <c r="WJV32" s="672"/>
      <c r="WJW32" s="672"/>
      <c r="WJX32" s="672"/>
      <c r="WJY32" s="672"/>
      <c r="WJZ32" s="672"/>
      <c r="WKA32" s="672"/>
      <c r="WKB32" s="672"/>
      <c r="WKC32" s="672"/>
      <c r="WKD32" s="672"/>
      <c r="WKE32" s="672"/>
      <c r="WKF32" s="672"/>
      <c r="WKG32" s="672"/>
      <c r="WKH32" s="672"/>
      <c r="WKI32" s="672"/>
      <c r="WKJ32" s="672"/>
      <c r="WKK32" s="672"/>
      <c r="WKL32" s="672"/>
      <c r="WKM32" s="672"/>
      <c r="WKN32" s="672"/>
      <c r="WKO32" s="672"/>
      <c r="WKP32" s="672"/>
      <c r="WKQ32" s="672"/>
      <c r="WKR32" s="672"/>
      <c r="WKS32" s="672"/>
      <c r="WKT32" s="672"/>
      <c r="WKU32" s="672"/>
      <c r="WKV32" s="672"/>
      <c r="WKW32" s="672"/>
      <c r="WKX32" s="672"/>
      <c r="WKY32" s="672"/>
      <c r="WKZ32" s="672"/>
      <c r="WLA32" s="672"/>
      <c r="WLB32" s="672"/>
      <c r="WLC32" s="672"/>
      <c r="WLD32" s="672"/>
      <c r="WLE32" s="672"/>
      <c r="WLF32" s="672"/>
      <c r="WLG32" s="672"/>
      <c r="WLH32" s="672"/>
      <c r="WLI32" s="672"/>
      <c r="WLJ32" s="672"/>
      <c r="WLK32" s="672"/>
      <c r="WLL32" s="672"/>
      <c r="WLM32" s="672"/>
      <c r="WLN32" s="672"/>
      <c r="WLO32" s="672"/>
      <c r="WLP32" s="672"/>
      <c r="WLQ32" s="672"/>
      <c r="WLR32" s="672"/>
      <c r="WLS32" s="672"/>
      <c r="WLT32" s="672"/>
      <c r="WLU32" s="672"/>
      <c r="WLV32" s="672"/>
      <c r="WLW32" s="672"/>
      <c r="WLX32" s="672"/>
      <c r="WLY32" s="672"/>
      <c r="WLZ32" s="672"/>
      <c r="WMA32" s="672"/>
      <c r="WMB32" s="672"/>
      <c r="WMC32" s="672"/>
      <c r="WMD32" s="672"/>
      <c r="WME32" s="672"/>
      <c r="WMF32" s="672"/>
      <c r="WMG32" s="672"/>
      <c r="WMH32" s="672"/>
      <c r="WMI32" s="672"/>
      <c r="WMJ32" s="672"/>
      <c r="WMK32" s="672"/>
      <c r="WML32" s="672"/>
      <c r="WMM32" s="672"/>
      <c r="WMN32" s="672"/>
      <c r="WMO32" s="672"/>
      <c r="WMP32" s="672"/>
      <c r="WMQ32" s="672"/>
      <c r="WMR32" s="672"/>
      <c r="WMS32" s="672"/>
      <c r="WMT32" s="672"/>
      <c r="WMU32" s="672"/>
      <c r="WMV32" s="672"/>
      <c r="WMW32" s="672"/>
      <c r="WMX32" s="672"/>
      <c r="WMY32" s="672"/>
      <c r="WMZ32" s="672"/>
      <c r="WNA32" s="672"/>
      <c r="WNB32" s="672"/>
      <c r="WNC32" s="672"/>
      <c r="WND32" s="672"/>
      <c r="WNE32" s="672"/>
      <c r="WNF32" s="672"/>
      <c r="WNG32" s="672"/>
      <c r="WNH32" s="672"/>
      <c r="WNI32" s="672"/>
      <c r="WNJ32" s="672"/>
      <c r="WNK32" s="672"/>
      <c r="WNL32" s="672"/>
      <c r="WNM32" s="672"/>
      <c r="WNN32" s="672"/>
      <c r="WNO32" s="672"/>
      <c r="WNP32" s="672"/>
      <c r="WNQ32" s="672"/>
      <c r="WNR32" s="672"/>
      <c r="WNS32" s="672"/>
      <c r="WNT32" s="672"/>
      <c r="WNU32" s="672"/>
      <c r="WNV32" s="672"/>
      <c r="WNW32" s="672"/>
      <c r="WNX32" s="672"/>
      <c r="WNY32" s="672"/>
      <c r="WNZ32" s="672"/>
      <c r="WOA32" s="672"/>
      <c r="WOB32" s="672"/>
      <c r="WOC32" s="672"/>
      <c r="WOD32" s="672"/>
      <c r="WOE32" s="672"/>
      <c r="WOF32" s="672"/>
      <c r="WOG32" s="672"/>
      <c r="WOH32" s="672"/>
      <c r="WOI32" s="672"/>
      <c r="WOJ32" s="672"/>
      <c r="WOK32" s="672"/>
      <c r="WOL32" s="672"/>
      <c r="WOM32" s="672"/>
      <c r="WON32" s="672"/>
      <c r="WOO32" s="672"/>
      <c r="WOP32" s="672"/>
      <c r="WOQ32" s="672"/>
      <c r="WOR32" s="672"/>
      <c r="WOS32" s="672"/>
      <c r="WOT32" s="672"/>
      <c r="WOU32" s="672"/>
      <c r="WOV32" s="672"/>
      <c r="WOW32" s="672"/>
      <c r="WOX32" s="672"/>
      <c r="WOY32" s="672"/>
      <c r="WOZ32" s="672"/>
      <c r="WPA32" s="672"/>
      <c r="WPB32" s="672"/>
      <c r="WPC32" s="672"/>
      <c r="WPD32" s="672"/>
      <c r="WPE32" s="672"/>
      <c r="WPF32" s="672"/>
      <c r="WPG32" s="672"/>
      <c r="WPH32" s="672"/>
      <c r="WPI32" s="672"/>
      <c r="WPJ32" s="672"/>
      <c r="WPK32" s="672"/>
      <c r="WPL32" s="672"/>
      <c r="WPM32" s="672"/>
      <c r="WPN32" s="672"/>
      <c r="WPO32" s="672"/>
      <c r="WPP32" s="672"/>
      <c r="WPQ32" s="672"/>
      <c r="WPR32" s="672"/>
      <c r="WPS32" s="672"/>
      <c r="WPT32" s="672"/>
      <c r="WPU32" s="672"/>
      <c r="WPV32" s="672"/>
      <c r="WPW32" s="672"/>
      <c r="WPX32" s="672"/>
      <c r="WPY32" s="672"/>
      <c r="WPZ32" s="672"/>
      <c r="WQA32" s="672"/>
      <c r="WQB32" s="672"/>
      <c r="WQC32" s="672"/>
      <c r="WQD32" s="672"/>
      <c r="WQE32" s="672"/>
      <c r="WQF32" s="672"/>
      <c r="WQG32" s="672"/>
      <c r="WQH32" s="672"/>
      <c r="WQI32" s="672"/>
      <c r="WQJ32" s="672"/>
      <c r="WQK32" s="672"/>
      <c r="WQL32" s="672"/>
      <c r="WQM32" s="672"/>
      <c r="WQN32" s="672"/>
      <c r="WQO32" s="672"/>
      <c r="WQP32" s="672"/>
      <c r="WQQ32" s="672"/>
      <c r="WQR32" s="672"/>
      <c r="WQS32" s="672"/>
      <c r="WQT32" s="672"/>
      <c r="WQU32" s="672"/>
      <c r="WQV32" s="672"/>
      <c r="WQW32" s="672"/>
      <c r="WQX32" s="672"/>
      <c r="WQY32" s="672"/>
      <c r="WQZ32" s="672"/>
      <c r="WRA32" s="672"/>
      <c r="WRB32" s="672"/>
      <c r="WRC32" s="672"/>
      <c r="WRD32" s="672"/>
      <c r="WRE32" s="672"/>
      <c r="WRF32" s="672"/>
      <c r="WRG32" s="672"/>
      <c r="WRH32" s="672"/>
      <c r="WRI32" s="672"/>
      <c r="WRJ32" s="672"/>
      <c r="WRK32" s="672"/>
      <c r="WRL32" s="672"/>
      <c r="WRM32" s="672"/>
      <c r="WRN32" s="672"/>
      <c r="WRO32" s="672"/>
      <c r="WRP32" s="672"/>
      <c r="WRQ32" s="672"/>
      <c r="WRR32" s="672"/>
      <c r="WRS32" s="672"/>
      <c r="WRT32" s="672"/>
      <c r="WRU32" s="672"/>
      <c r="WRV32" s="672"/>
      <c r="WRW32" s="672"/>
      <c r="WRX32" s="672"/>
      <c r="WRY32" s="672"/>
      <c r="WRZ32" s="672"/>
      <c r="WSA32" s="672"/>
      <c r="WSB32" s="672"/>
      <c r="WSC32" s="672"/>
      <c r="WSD32" s="672"/>
      <c r="WSE32" s="672"/>
      <c r="WSF32" s="672"/>
      <c r="WSG32" s="672"/>
      <c r="WSH32" s="672"/>
      <c r="WSI32" s="672"/>
      <c r="WSJ32" s="672"/>
      <c r="WSK32" s="672"/>
      <c r="WSL32" s="672"/>
      <c r="WSM32" s="672"/>
      <c r="WSN32" s="672"/>
      <c r="WSO32" s="672"/>
      <c r="WSP32" s="672"/>
      <c r="WSQ32" s="672"/>
      <c r="WSR32" s="672"/>
      <c r="WSS32" s="672"/>
      <c r="WST32" s="672"/>
      <c r="WSU32" s="672"/>
      <c r="WSV32" s="672"/>
      <c r="WSW32" s="672"/>
      <c r="WSX32" s="672"/>
      <c r="WSY32" s="672"/>
      <c r="WSZ32" s="672"/>
      <c r="WTA32" s="672"/>
      <c r="WTB32" s="672"/>
      <c r="WTC32" s="672"/>
      <c r="WTD32" s="672"/>
      <c r="WTE32" s="672"/>
      <c r="WTF32" s="672"/>
      <c r="WTG32" s="672"/>
      <c r="WTH32" s="672"/>
      <c r="WTI32" s="672"/>
      <c r="WTJ32" s="672"/>
      <c r="WTK32" s="672"/>
      <c r="WTL32" s="672"/>
      <c r="WTM32" s="672"/>
      <c r="WTN32" s="672"/>
      <c r="WTO32" s="672"/>
      <c r="WTP32" s="672"/>
      <c r="WTQ32" s="672"/>
      <c r="WTR32" s="672"/>
      <c r="WTS32" s="672"/>
      <c r="WTT32" s="672"/>
      <c r="WTU32" s="672"/>
      <c r="WTV32" s="672"/>
      <c r="WTW32" s="672"/>
      <c r="WTX32" s="672"/>
      <c r="WTY32" s="672"/>
      <c r="WTZ32" s="672"/>
      <c r="WUA32" s="672"/>
      <c r="WUB32" s="672"/>
      <c r="WUC32" s="672"/>
      <c r="WUD32" s="672"/>
      <c r="WUE32" s="672"/>
      <c r="WUF32" s="672"/>
      <c r="WUG32" s="672"/>
      <c r="WUH32" s="672"/>
      <c r="WUI32" s="672"/>
      <c r="WUJ32" s="672"/>
      <c r="WUK32" s="672"/>
      <c r="WUL32" s="672"/>
      <c r="WUM32" s="672"/>
      <c r="WUN32" s="672"/>
      <c r="WUO32" s="672"/>
      <c r="WUP32" s="672"/>
      <c r="WUQ32" s="672"/>
      <c r="WUR32" s="672"/>
      <c r="WUS32" s="672"/>
      <c r="WUT32" s="672"/>
      <c r="WUU32" s="672"/>
      <c r="WUV32" s="672"/>
      <c r="WUW32" s="672"/>
      <c r="WUX32" s="672"/>
      <c r="WUY32" s="672"/>
      <c r="WUZ32" s="672"/>
      <c r="WVA32" s="672"/>
      <c r="WVB32" s="672"/>
      <c r="WVC32" s="672"/>
      <c r="WVD32" s="672"/>
      <c r="WVE32" s="672"/>
      <c r="WVF32" s="672"/>
      <c r="WVG32" s="672"/>
      <c r="WVH32" s="672"/>
      <c r="WVI32" s="672"/>
      <c r="WVJ32" s="672"/>
      <c r="WVK32" s="672"/>
      <c r="WVL32" s="672"/>
      <c r="WVM32" s="672"/>
      <c r="WVN32" s="672"/>
      <c r="WVO32" s="672"/>
      <c r="WVP32" s="672"/>
      <c r="WVQ32" s="672"/>
      <c r="WVR32" s="672"/>
      <c r="WVS32" s="672"/>
      <c r="WVT32" s="672"/>
      <c r="WVU32" s="672"/>
      <c r="WVV32" s="672"/>
      <c r="WVW32" s="672"/>
      <c r="WVX32" s="672"/>
      <c r="WVY32" s="672"/>
      <c r="WVZ32" s="672"/>
      <c r="WWA32" s="672"/>
      <c r="WWB32" s="672"/>
      <c r="WWC32" s="672"/>
      <c r="WWD32" s="672"/>
      <c r="WWE32" s="672"/>
      <c r="WWF32" s="672"/>
      <c r="WWG32" s="672"/>
      <c r="WWH32" s="672"/>
      <c r="WWI32" s="672"/>
      <c r="WWJ32" s="672"/>
      <c r="WWK32" s="672"/>
      <c r="WWL32" s="672"/>
      <c r="WWM32" s="672"/>
      <c r="WWN32" s="672"/>
      <c r="WWO32" s="672"/>
      <c r="WWP32" s="672"/>
      <c r="WWQ32" s="672"/>
      <c r="WWR32" s="672"/>
      <c r="WWS32" s="672"/>
      <c r="WWT32" s="672"/>
      <c r="WWU32" s="672"/>
      <c r="WWV32" s="672"/>
      <c r="WWW32" s="672"/>
      <c r="WWX32" s="672"/>
      <c r="WWY32" s="672"/>
      <c r="WWZ32" s="672"/>
      <c r="WXA32" s="672"/>
      <c r="WXB32" s="672"/>
      <c r="WXC32" s="672"/>
      <c r="WXD32" s="672"/>
      <c r="WXE32" s="672"/>
      <c r="WXF32" s="672"/>
      <c r="WXG32" s="672"/>
      <c r="WXH32" s="672"/>
      <c r="WXI32" s="672"/>
      <c r="WXJ32" s="672"/>
      <c r="WXK32" s="672"/>
      <c r="WXL32" s="672"/>
      <c r="WXM32" s="672"/>
      <c r="WXN32" s="672"/>
      <c r="WXO32" s="672"/>
      <c r="WXP32" s="672"/>
      <c r="WXQ32" s="672"/>
      <c r="WXR32" s="672"/>
      <c r="WXS32" s="672"/>
      <c r="WXT32" s="672"/>
      <c r="WXU32" s="672"/>
      <c r="WXV32" s="672"/>
      <c r="WXW32" s="672"/>
      <c r="WXX32" s="672"/>
      <c r="WXY32" s="672"/>
      <c r="WXZ32" s="672"/>
      <c r="WYA32" s="672"/>
      <c r="WYB32" s="672"/>
      <c r="WYC32" s="672"/>
      <c r="WYD32" s="672"/>
      <c r="WYE32" s="672"/>
      <c r="WYF32" s="672"/>
      <c r="WYG32" s="672"/>
      <c r="WYH32" s="672"/>
      <c r="WYI32" s="672"/>
      <c r="WYJ32" s="672"/>
      <c r="WYK32" s="672"/>
      <c r="WYL32" s="672"/>
      <c r="WYM32" s="672"/>
      <c r="WYN32" s="672"/>
      <c r="WYO32" s="672"/>
      <c r="WYP32" s="672"/>
      <c r="WYQ32" s="672"/>
      <c r="WYR32" s="672"/>
      <c r="WYS32" s="672"/>
      <c r="WYT32" s="672"/>
      <c r="WYU32" s="672"/>
      <c r="WYV32" s="672"/>
      <c r="WYW32" s="672"/>
      <c r="WYX32" s="672"/>
      <c r="WYY32" s="672"/>
      <c r="WYZ32" s="672"/>
      <c r="WZA32" s="672"/>
      <c r="WZB32" s="672"/>
      <c r="WZC32" s="672"/>
      <c r="WZD32" s="672"/>
      <c r="WZE32" s="672"/>
      <c r="WZF32" s="672"/>
      <c r="WZG32" s="672"/>
      <c r="WZH32" s="672"/>
      <c r="WZI32" s="672"/>
      <c r="WZJ32" s="672"/>
      <c r="WZK32" s="672"/>
      <c r="WZL32" s="672"/>
      <c r="WZM32" s="672"/>
      <c r="WZN32" s="672"/>
      <c r="WZO32" s="672"/>
      <c r="WZP32" s="672"/>
      <c r="WZQ32" s="672"/>
      <c r="WZR32" s="672"/>
      <c r="WZS32" s="672"/>
      <c r="WZT32" s="672"/>
      <c r="WZU32" s="672"/>
      <c r="WZV32" s="672"/>
      <c r="WZW32" s="672"/>
      <c r="WZX32" s="672"/>
      <c r="WZY32" s="672"/>
      <c r="WZZ32" s="672"/>
      <c r="XAA32" s="672"/>
      <c r="XAB32" s="672"/>
      <c r="XAC32" s="672"/>
      <c r="XAD32" s="672"/>
      <c r="XAE32" s="672"/>
      <c r="XAF32" s="672"/>
      <c r="XAG32" s="672"/>
      <c r="XAH32" s="672"/>
      <c r="XAI32" s="672"/>
      <c r="XAJ32" s="672"/>
      <c r="XAK32" s="672"/>
      <c r="XAL32" s="672"/>
      <c r="XAM32" s="672"/>
      <c r="XAN32" s="672"/>
      <c r="XAO32" s="672"/>
      <c r="XAP32" s="672"/>
      <c r="XAQ32" s="672"/>
      <c r="XAR32" s="672"/>
      <c r="XAS32" s="672"/>
      <c r="XAT32" s="672"/>
      <c r="XAU32" s="672"/>
      <c r="XAV32" s="672"/>
      <c r="XAW32" s="672"/>
      <c r="XAX32" s="672"/>
      <c r="XAY32" s="672"/>
      <c r="XAZ32" s="672"/>
      <c r="XBA32" s="672"/>
      <c r="XBB32" s="672"/>
      <c r="XBC32" s="672"/>
      <c r="XBD32" s="672"/>
      <c r="XBE32" s="672"/>
      <c r="XBF32" s="672"/>
      <c r="XBG32" s="672"/>
      <c r="XBH32" s="672"/>
      <c r="XBI32" s="672"/>
      <c r="XBJ32" s="672"/>
      <c r="XBK32" s="672"/>
      <c r="XBL32" s="672"/>
      <c r="XBM32" s="672"/>
      <c r="XBN32" s="672"/>
      <c r="XBO32" s="672"/>
      <c r="XBP32" s="672"/>
      <c r="XBQ32" s="672"/>
      <c r="XBR32" s="672"/>
      <c r="XBS32" s="672"/>
      <c r="XBT32" s="672"/>
      <c r="XBU32" s="672"/>
      <c r="XBV32" s="672"/>
      <c r="XBW32" s="672"/>
      <c r="XBX32" s="672"/>
      <c r="XBY32" s="672"/>
      <c r="XBZ32" s="672"/>
      <c r="XCA32" s="672"/>
      <c r="XCB32" s="672"/>
      <c r="XCC32" s="672"/>
      <c r="XCD32" s="672"/>
      <c r="XCE32" s="672"/>
      <c r="XCF32" s="672"/>
      <c r="XCG32" s="672"/>
      <c r="XCH32" s="672"/>
      <c r="XCI32" s="672"/>
      <c r="XCJ32" s="672"/>
      <c r="XCK32" s="672"/>
      <c r="XCL32" s="672"/>
      <c r="XCM32" s="672"/>
      <c r="XCN32" s="672"/>
      <c r="XCO32" s="672"/>
      <c r="XCP32" s="672"/>
      <c r="XCQ32" s="672"/>
      <c r="XCR32" s="672"/>
      <c r="XCS32" s="672"/>
      <c r="XCT32" s="672"/>
      <c r="XCU32" s="672"/>
      <c r="XCV32" s="672"/>
      <c r="XCW32" s="672"/>
      <c r="XCX32" s="672"/>
      <c r="XCY32" s="672"/>
      <c r="XCZ32" s="672"/>
      <c r="XDA32" s="672"/>
      <c r="XDB32" s="672"/>
      <c r="XDC32" s="672"/>
      <c r="XDD32" s="672"/>
      <c r="XDE32" s="672"/>
      <c r="XDF32" s="672"/>
      <c r="XDG32" s="672"/>
      <c r="XDH32" s="672"/>
      <c r="XDI32" s="672"/>
      <c r="XDJ32" s="672"/>
      <c r="XDK32" s="672"/>
      <c r="XDL32" s="672"/>
      <c r="XDM32" s="672"/>
      <c r="XDN32" s="672"/>
      <c r="XDO32" s="672"/>
      <c r="XDP32" s="672"/>
      <c r="XDQ32" s="672"/>
      <c r="XDR32" s="672"/>
      <c r="XDS32" s="672"/>
      <c r="XDT32" s="672"/>
      <c r="XDU32" s="672"/>
      <c r="XDV32" s="672"/>
      <c r="XDW32" s="672"/>
      <c r="XDX32" s="672"/>
      <c r="XDY32" s="672"/>
      <c r="XDZ32" s="672"/>
      <c r="XEA32" s="672"/>
      <c r="XEB32" s="672"/>
      <c r="XEC32" s="672"/>
      <c r="XED32" s="672"/>
      <c r="XEE32" s="672"/>
      <c r="XEF32" s="672"/>
      <c r="XEG32" s="672"/>
      <c r="XEH32" s="672"/>
      <c r="XEI32" s="672"/>
      <c r="XEJ32" s="672"/>
      <c r="XEK32" s="672"/>
      <c r="XEL32" s="672"/>
      <c r="XEM32" s="672"/>
      <c r="XEN32" s="672"/>
      <c r="XEO32" s="672"/>
      <c r="XEP32" s="672"/>
      <c r="XEQ32" s="672"/>
      <c r="XER32" s="672"/>
      <c r="XES32" s="672"/>
      <c r="XET32" s="672"/>
      <c r="XEU32" s="672"/>
      <c r="XEV32" s="672"/>
      <c r="XEW32" s="672"/>
      <c r="XEX32" s="672"/>
      <c r="XEY32" s="672"/>
      <c r="XEZ32" s="672"/>
      <c r="XFA32" s="672"/>
      <c r="XFB32" s="672"/>
      <c r="XFC32" s="672"/>
      <c r="XFD32" s="672"/>
    </row>
    <row r="33" spans="1:16384" s="760" customFormat="1" ht="40" customHeight="1" x14ac:dyDescent="0.35">
      <c r="A33" s="794"/>
      <c r="B33" s="795"/>
      <c r="C33" s="795"/>
      <c r="D33" s="795"/>
      <c r="E33" s="795"/>
      <c r="F33" s="795"/>
      <c r="G33" s="795"/>
      <c r="H33" s="796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5"/>
      <c r="U33" s="25"/>
      <c r="V33" s="672"/>
      <c r="W33" s="672"/>
      <c r="X33" s="672"/>
      <c r="Y33" s="672"/>
      <c r="Z33" s="672"/>
      <c r="AA33" s="672"/>
      <c r="AB33" s="672"/>
      <c r="AC33" s="672"/>
      <c r="AD33" s="672"/>
      <c r="AE33" s="672"/>
      <c r="AF33" s="672"/>
      <c r="AG33" s="672"/>
      <c r="AH33" s="672"/>
      <c r="AI33" s="672"/>
      <c r="AJ33" s="672"/>
      <c r="AK33" s="672"/>
      <c r="AL33" s="672"/>
      <c r="AM33" s="672"/>
      <c r="AN33" s="672"/>
      <c r="AO33" s="672"/>
      <c r="AP33" s="672"/>
      <c r="AQ33" s="672"/>
      <c r="AR33" s="672"/>
      <c r="AS33" s="672"/>
      <c r="AT33" s="672"/>
      <c r="AU33" s="672"/>
      <c r="AV33" s="672"/>
      <c r="AW33" s="672"/>
      <c r="AX33" s="672"/>
      <c r="AY33" s="672"/>
      <c r="AZ33" s="672"/>
      <c r="BA33" s="672"/>
      <c r="BB33" s="672"/>
      <c r="BC33" s="672"/>
      <c r="BD33" s="672"/>
      <c r="BE33" s="672"/>
      <c r="BF33" s="672"/>
      <c r="BG33" s="672"/>
      <c r="BH33" s="672"/>
      <c r="BI33" s="672"/>
      <c r="BJ33" s="672"/>
      <c r="BK33" s="672"/>
      <c r="BL33" s="672"/>
      <c r="BM33" s="672"/>
      <c r="BN33" s="672"/>
      <c r="BO33" s="672"/>
      <c r="BP33" s="672"/>
      <c r="BQ33" s="672"/>
      <c r="BR33" s="672"/>
      <c r="BS33" s="672"/>
      <c r="BT33" s="672"/>
      <c r="BU33" s="672"/>
      <c r="BV33" s="672"/>
      <c r="BW33" s="672"/>
      <c r="BX33" s="672"/>
      <c r="BY33" s="672"/>
      <c r="BZ33" s="672"/>
      <c r="CA33" s="672"/>
      <c r="CB33" s="672"/>
      <c r="CC33" s="672"/>
      <c r="CD33" s="672"/>
      <c r="CE33" s="672"/>
      <c r="CF33" s="672"/>
      <c r="CG33" s="672"/>
      <c r="CH33" s="672"/>
      <c r="CI33" s="672"/>
      <c r="CJ33" s="672"/>
      <c r="CK33" s="672"/>
      <c r="CL33" s="672"/>
      <c r="CM33" s="672"/>
      <c r="CN33" s="672"/>
      <c r="CO33" s="672"/>
      <c r="CP33" s="672"/>
      <c r="CQ33" s="672"/>
      <c r="CR33" s="672"/>
      <c r="CS33" s="672"/>
      <c r="CT33" s="672"/>
      <c r="CU33" s="672"/>
      <c r="CV33" s="672"/>
      <c r="CW33" s="672"/>
      <c r="CX33" s="672"/>
      <c r="CY33" s="672"/>
      <c r="CZ33" s="672"/>
      <c r="DA33" s="672"/>
      <c r="DB33" s="672"/>
      <c r="DC33" s="672"/>
      <c r="DD33" s="672"/>
      <c r="DE33" s="672"/>
      <c r="DF33" s="672"/>
      <c r="DG33" s="672"/>
      <c r="DH33" s="672"/>
      <c r="DI33" s="672"/>
      <c r="DJ33" s="672"/>
      <c r="DK33" s="672"/>
      <c r="DL33" s="672"/>
      <c r="DM33" s="672"/>
      <c r="DN33" s="672"/>
      <c r="DO33" s="672"/>
      <c r="DP33" s="672"/>
      <c r="DQ33" s="672"/>
      <c r="DR33" s="672"/>
      <c r="DS33" s="672"/>
      <c r="DT33" s="672"/>
      <c r="DU33" s="672"/>
      <c r="DV33" s="672"/>
      <c r="DW33" s="672"/>
      <c r="DX33" s="672"/>
      <c r="DY33" s="672"/>
      <c r="DZ33" s="672"/>
      <c r="EA33" s="672"/>
      <c r="EB33" s="672"/>
      <c r="EC33" s="672"/>
      <c r="ED33" s="672"/>
      <c r="EE33" s="672"/>
      <c r="EF33" s="672"/>
      <c r="EG33" s="672"/>
      <c r="EH33" s="672"/>
      <c r="EI33" s="672"/>
      <c r="EJ33" s="672"/>
      <c r="EK33" s="672"/>
      <c r="EL33" s="672"/>
      <c r="EM33" s="672"/>
      <c r="EN33" s="672"/>
      <c r="EO33" s="672"/>
      <c r="EP33" s="672"/>
      <c r="EQ33" s="672"/>
      <c r="ER33" s="672"/>
      <c r="ES33" s="672"/>
      <c r="ET33" s="672"/>
      <c r="EU33" s="672"/>
      <c r="EV33" s="672"/>
      <c r="EW33" s="672"/>
      <c r="EX33" s="672"/>
      <c r="EY33" s="672"/>
      <c r="EZ33" s="672"/>
      <c r="FA33" s="672"/>
      <c r="FB33" s="672"/>
      <c r="FC33" s="672"/>
      <c r="FD33" s="672"/>
      <c r="FE33" s="672"/>
      <c r="FF33" s="672"/>
      <c r="FG33" s="672"/>
      <c r="FH33" s="672"/>
      <c r="FI33" s="672"/>
      <c r="FJ33" s="672"/>
      <c r="FK33" s="672"/>
      <c r="FL33" s="672"/>
      <c r="FM33" s="672"/>
      <c r="FN33" s="672"/>
      <c r="FO33" s="672"/>
      <c r="FP33" s="672"/>
      <c r="FQ33" s="672"/>
      <c r="FR33" s="672"/>
      <c r="FS33" s="672"/>
      <c r="FT33" s="672"/>
      <c r="FU33" s="672"/>
      <c r="FV33" s="672"/>
      <c r="FW33" s="672"/>
      <c r="FX33" s="672"/>
      <c r="FY33" s="672"/>
      <c r="FZ33" s="672"/>
      <c r="GA33" s="672"/>
      <c r="GB33" s="672"/>
      <c r="GC33" s="672"/>
      <c r="GD33" s="672"/>
      <c r="GE33" s="672"/>
      <c r="GF33" s="672"/>
      <c r="GG33" s="672"/>
      <c r="GH33" s="672"/>
      <c r="GI33" s="672"/>
      <c r="GJ33" s="672"/>
      <c r="GK33" s="672"/>
      <c r="GL33" s="672"/>
      <c r="GM33" s="672"/>
      <c r="GN33" s="672"/>
      <c r="GO33" s="672"/>
      <c r="GP33" s="672"/>
      <c r="GQ33" s="672"/>
      <c r="GR33" s="672"/>
      <c r="GS33" s="672"/>
      <c r="GT33" s="672"/>
      <c r="GU33" s="672"/>
      <c r="GV33" s="672"/>
      <c r="GW33" s="672"/>
      <c r="GX33" s="672"/>
      <c r="GY33" s="672"/>
      <c r="GZ33" s="672"/>
      <c r="HA33" s="672"/>
      <c r="HB33" s="672"/>
      <c r="HC33" s="672"/>
      <c r="HD33" s="672"/>
      <c r="HE33" s="672"/>
      <c r="HF33" s="672"/>
      <c r="HG33" s="672"/>
      <c r="HH33" s="672"/>
      <c r="HI33" s="672"/>
      <c r="HJ33" s="672"/>
      <c r="HK33" s="672"/>
      <c r="HL33" s="672"/>
      <c r="HM33" s="672"/>
      <c r="HN33" s="672"/>
      <c r="HO33" s="672"/>
      <c r="HP33" s="672"/>
      <c r="HQ33" s="672"/>
      <c r="HR33" s="672"/>
      <c r="HS33" s="672"/>
      <c r="HT33" s="672"/>
      <c r="HU33" s="672"/>
      <c r="HV33" s="672"/>
      <c r="HW33" s="672"/>
      <c r="HX33" s="672"/>
      <c r="HY33" s="672"/>
      <c r="HZ33" s="672"/>
      <c r="IA33" s="672"/>
      <c r="IB33" s="672"/>
      <c r="IC33" s="672"/>
      <c r="ID33" s="672"/>
      <c r="IE33" s="672"/>
      <c r="IF33" s="672"/>
      <c r="IG33" s="672"/>
      <c r="IH33" s="672"/>
      <c r="II33" s="672"/>
      <c r="IJ33" s="672"/>
      <c r="IK33" s="672"/>
      <c r="IL33" s="672"/>
      <c r="IM33" s="672"/>
      <c r="IN33" s="672"/>
      <c r="IO33" s="672"/>
      <c r="IP33" s="672"/>
      <c r="IQ33" s="672"/>
      <c r="IR33" s="672"/>
      <c r="IS33" s="672"/>
      <c r="IT33" s="672"/>
      <c r="IU33" s="672"/>
      <c r="IV33" s="672"/>
      <c r="IW33" s="672"/>
      <c r="IX33" s="672"/>
      <c r="IY33" s="672"/>
      <c r="IZ33" s="672"/>
      <c r="JA33" s="672"/>
      <c r="JB33" s="672"/>
      <c r="JC33" s="672"/>
      <c r="JD33" s="672"/>
      <c r="JE33" s="672"/>
      <c r="JF33" s="672"/>
      <c r="JG33" s="672"/>
      <c r="JH33" s="672"/>
      <c r="JI33" s="672"/>
      <c r="JJ33" s="672"/>
      <c r="JK33" s="672"/>
      <c r="JL33" s="672"/>
      <c r="JM33" s="672"/>
      <c r="JN33" s="672"/>
      <c r="JO33" s="672"/>
      <c r="JP33" s="672"/>
      <c r="JQ33" s="672"/>
      <c r="JR33" s="672"/>
      <c r="JS33" s="672"/>
      <c r="JT33" s="672"/>
      <c r="JU33" s="672"/>
      <c r="JV33" s="672"/>
      <c r="JW33" s="672"/>
      <c r="JX33" s="672"/>
      <c r="JY33" s="672"/>
      <c r="JZ33" s="672"/>
      <c r="KA33" s="672"/>
      <c r="KB33" s="672"/>
      <c r="KC33" s="672"/>
      <c r="KD33" s="672"/>
      <c r="KE33" s="672"/>
      <c r="KF33" s="672"/>
      <c r="KG33" s="672"/>
      <c r="KH33" s="672"/>
      <c r="KI33" s="672"/>
      <c r="KJ33" s="672"/>
      <c r="KK33" s="672"/>
      <c r="KL33" s="672"/>
      <c r="KM33" s="672"/>
      <c r="KN33" s="672"/>
      <c r="KO33" s="672"/>
      <c r="KP33" s="672"/>
      <c r="KQ33" s="672"/>
      <c r="KR33" s="672"/>
      <c r="KS33" s="672"/>
      <c r="KT33" s="672"/>
      <c r="KU33" s="672"/>
      <c r="KV33" s="672"/>
      <c r="KW33" s="672"/>
      <c r="KX33" s="672"/>
      <c r="KY33" s="672"/>
      <c r="KZ33" s="672"/>
      <c r="LA33" s="672"/>
      <c r="LB33" s="672"/>
      <c r="LC33" s="672"/>
      <c r="LD33" s="672"/>
      <c r="LE33" s="672"/>
      <c r="LF33" s="672"/>
      <c r="LG33" s="672"/>
      <c r="LH33" s="672"/>
      <c r="LI33" s="672"/>
      <c r="LJ33" s="672"/>
      <c r="LK33" s="672"/>
      <c r="LL33" s="672"/>
      <c r="LM33" s="672"/>
      <c r="LN33" s="672"/>
      <c r="LO33" s="672"/>
      <c r="LP33" s="672"/>
      <c r="LQ33" s="672"/>
      <c r="LR33" s="672"/>
      <c r="LS33" s="672"/>
      <c r="LT33" s="672"/>
      <c r="LU33" s="672"/>
      <c r="LV33" s="672"/>
      <c r="LW33" s="672"/>
      <c r="LX33" s="672"/>
      <c r="LY33" s="672"/>
      <c r="LZ33" s="672"/>
      <c r="MA33" s="672"/>
      <c r="MB33" s="672"/>
      <c r="MC33" s="672"/>
      <c r="MD33" s="672"/>
      <c r="ME33" s="672"/>
      <c r="MF33" s="672"/>
      <c r="MG33" s="672"/>
      <c r="MH33" s="672"/>
      <c r="MI33" s="672"/>
      <c r="MJ33" s="672"/>
      <c r="MK33" s="672"/>
      <c r="ML33" s="672"/>
      <c r="MM33" s="672"/>
      <c r="MN33" s="672"/>
      <c r="MO33" s="672"/>
      <c r="MP33" s="672"/>
      <c r="MQ33" s="672"/>
      <c r="MR33" s="672"/>
      <c r="MS33" s="672"/>
      <c r="MT33" s="672"/>
      <c r="MU33" s="672"/>
      <c r="MV33" s="672"/>
      <c r="MW33" s="672"/>
      <c r="MX33" s="672"/>
      <c r="MY33" s="672"/>
      <c r="MZ33" s="672"/>
      <c r="NA33" s="672"/>
      <c r="NB33" s="672"/>
      <c r="NC33" s="672"/>
      <c r="ND33" s="672"/>
      <c r="NE33" s="672"/>
      <c r="NF33" s="672"/>
      <c r="NG33" s="672"/>
      <c r="NH33" s="672"/>
      <c r="NI33" s="672"/>
      <c r="NJ33" s="672"/>
      <c r="NK33" s="672"/>
      <c r="NL33" s="672"/>
      <c r="NM33" s="672"/>
      <c r="NN33" s="672"/>
      <c r="NO33" s="672"/>
      <c r="NP33" s="672"/>
      <c r="NQ33" s="672"/>
      <c r="NR33" s="672"/>
      <c r="NS33" s="672"/>
      <c r="NT33" s="672"/>
      <c r="NU33" s="672"/>
      <c r="NV33" s="672"/>
      <c r="NW33" s="672"/>
      <c r="NX33" s="672"/>
      <c r="NY33" s="672"/>
      <c r="NZ33" s="672"/>
      <c r="OA33" s="672"/>
      <c r="OB33" s="672"/>
      <c r="OC33" s="672"/>
      <c r="OD33" s="672"/>
      <c r="OE33" s="672"/>
      <c r="OF33" s="672"/>
      <c r="OG33" s="672"/>
      <c r="OH33" s="672"/>
      <c r="OI33" s="672"/>
      <c r="OJ33" s="672"/>
      <c r="OK33" s="672"/>
      <c r="OL33" s="672"/>
      <c r="OM33" s="672"/>
      <c r="ON33" s="672"/>
      <c r="OO33" s="672"/>
      <c r="OP33" s="672"/>
      <c r="OQ33" s="672"/>
      <c r="OR33" s="672"/>
      <c r="OS33" s="672"/>
      <c r="OT33" s="672"/>
      <c r="OU33" s="672"/>
      <c r="OV33" s="672"/>
      <c r="OW33" s="672"/>
      <c r="OX33" s="672"/>
      <c r="OY33" s="672"/>
      <c r="OZ33" s="672"/>
      <c r="PA33" s="672"/>
      <c r="PB33" s="672"/>
      <c r="PC33" s="672"/>
      <c r="PD33" s="672"/>
      <c r="PE33" s="672"/>
      <c r="PF33" s="672"/>
      <c r="PG33" s="672"/>
      <c r="PH33" s="672"/>
      <c r="PI33" s="672"/>
      <c r="PJ33" s="672"/>
      <c r="PK33" s="672"/>
      <c r="PL33" s="672"/>
      <c r="PM33" s="672"/>
      <c r="PN33" s="672"/>
      <c r="PO33" s="672"/>
      <c r="PP33" s="672"/>
      <c r="PQ33" s="672"/>
      <c r="PR33" s="672"/>
      <c r="PS33" s="672"/>
      <c r="PT33" s="672"/>
      <c r="PU33" s="672"/>
      <c r="PV33" s="672"/>
      <c r="PW33" s="672"/>
      <c r="PX33" s="672"/>
      <c r="PY33" s="672"/>
      <c r="PZ33" s="672"/>
      <c r="QA33" s="672"/>
      <c r="QB33" s="672"/>
      <c r="QC33" s="672"/>
      <c r="QD33" s="672"/>
      <c r="QE33" s="672"/>
      <c r="QF33" s="672"/>
      <c r="QG33" s="672"/>
      <c r="QH33" s="672"/>
      <c r="QI33" s="672"/>
      <c r="QJ33" s="672"/>
      <c r="QK33" s="672"/>
      <c r="QL33" s="672"/>
      <c r="QM33" s="672"/>
      <c r="QN33" s="672"/>
      <c r="QO33" s="672"/>
      <c r="QP33" s="672"/>
      <c r="QQ33" s="672"/>
      <c r="QR33" s="672"/>
      <c r="QS33" s="672"/>
      <c r="QT33" s="672"/>
      <c r="QU33" s="672"/>
      <c r="QV33" s="672"/>
      <c r="QW33" s="672"/>
      <c r="QX33" s="672"/>
      <c r="QY33" s="672"/>
      <c r="QZ33" s="672"/>
      <c r="RA33" s="672"/>
      <c r="RB33" s="672"/>
      <c r="RC33" s="672"/>
      <c r="RD33" s="672"/>
      <c r="RE33" s="672"/>
      <c r="RF33" s="672"/>
      <c r="RG33" s="672"/>
      <c r="RH33" s="672"/>
      <c r="RI33" s="672"/>
      <c r="RJ33" s="672"/>
      <c r="RK33" s="672"/>
      <c r="RL33" s="672"/>
      <c r="RM33" s="672"/>
      <c r="RN33" s="672"/>
      <c r="RO33" s="672"/>
      <c r="RP33" s="672"/>
      <c r="RQ33" s="672"/>
      <c r="RR33" s="672"/>
      <c r="RS33" s="672"/>
      <c r="RT33" s="672"/>
      <c r="RU33" s="672"/>
      <c r="RV33" s="672"/>
      <c r="RW33" s="672"/>
      <c r="RX33" s="672"/>
      <c r="RY33" s="672"/>
      <c r="RZ33" s="672"/>
      <c r="SA33" s="672"/>
      <c r="SB33" s="672"/>
      <c r="SC33" s="672"/>
      <c r="SD33" s="672"/>
      <c r="SE33" s="672"/>
      <c r="SF33" s="672"/>
      <c r="SG33" s="672"/>
      <c r="SH33" s="672"/>
      <c r="SI33" s="672"/>
      <c r="SJ33" s="672"/>
      <c r="SK33" s="672"/>
      <c r="SL33" s="672"/>
      <c r="SM33" s="672"/>
      <c r="SN33" s="672"/>
      <c r="SO33" s="672"/>
      <c r="SP33" s="672"/>
      <c r="SQ33" s="672"/>
      <c r="SR33" s="672"/>
      <c r="SS33" s="672"/>
      <c r="ST33" s="672"/>
      <c r="SU33" s="672"/>
      <c r="SV33" s="672"/>
      <c r="SW33" s="672"/>
      <c r="SX33" s="672"/>
      <c r="SY33" s="672"/>
      <c r="SZ33" s="672"/>
      <c r="TA33" s="672"/>
      <c r="TB33" s="672"/>
      <c r="TC33" s="672"/>
      <c r="TD33" s="672"/>
      <c r="TE33" s="672"/>
      <c r="TF33" s="672"/>
      <c r="TG33" s="672"/>
      <c r="TH33" s="672"/>
      <c r="TI33" s="672"/>
      <c r="TJ33" s="672"/>
      <c r="TK33" s="672"/>
      <c r="TL33" s="672"/>
      <c r="TM33" s="672"/>
      <c r="TN33" s="672"/>
      <c r="TO33" s="672"/>
      <c r="TP33" s="672"/>
      <c r="TQ33" s="672"/>
      <c r="TR33" s="672"/>
      <c r="TS33" s="672"/>
      <c r="TT33" s="672"/>
      <c r="TU33" s="672"/>
      <c r="TV33" s="672"/>
      <c r="TW33" s="672"/>
      <c r="TX33" s="672"/>
      <c r="TY33" s="672"/>
      <c r="TZ33" s="672"/>
      <c r="UA33" s="672"/>
      <c r="UB33" s="672"/>
      <c r="UC33" s="672"/>
      <c r="UD33" s="672"/>
      <c r="UE33" s="672"/>
      <c r="UF33" s="672"/>
      <c r="UG33" s="672"/>
      <c r="UH33" s="672"/>
      <c r="UI33" s="672"/>
      <c r="UJ33" s="672"/>
      <c r="UK33" s="672"/>
      <c r="UL33" s="672"/>
      <c r="UM33" s="672"/>
      <c r="UN33" s="672"/>
      <c r="UO33" s="672"/>
      <c r="UP33" s="672"/>
      <c r="UQ33" s="672"/>
      <c r="UR33" s="672"/>
      <c r="US33" s="672"/>
      <c r="UT33" s="672"/>
      <c r="UU33" s="672"/>
      <c r="UV33" s="672"/>
      <c r="UW33" s="672"/>
      <c r="UX33" s="672"/>
      <c r="UY33" s="672"/>
      <c r="UZ33" s="672"/>
      <c r="VA33" s="672"/>
      <c r="VB33" s="672"/>
      <c r="VC33" s="672"/>
      <c r="VD33" s="672"/>
      <c r="VE33" s="672"/>
      <c r="VF33" s="672"/>
      <c r="VG33" s="672"/>
      <c r="VH33" s="672"/>
      <c r="VI33" s="672"/>
      <c r="VJ33" s="672"/>
      <c r="VK33" s="672"/>
      <c r="VL33" s="672"/>
      <c r="VM33" s="672"/>
      <c r="VN33" s="672"/>
      <c r="VO33" s="672"/>
      <c r="VP33" s="672"/>
      <c r="VQ33" s="672"/>
      <c r="VR33" s="672"/>
      <c r="VS33" s="672"/>
      <c r="VT33" s="672"/>
      <c r="VU33" s="672"/>
      <c r="VV33" s="672"/>
      <c r="VW33" s="672"/>
      <c r="VX33" s="672"/>
      <c r="VY33" s="672"/>
      <c r="VZ33" s="672"/>
      <c r="WA33" s="672"/>
      <c r="WB33" s="672"/>
      <c r="WC33" s="672"/>
      <c r="WD33" s="672"/>
      <c r="WE33" s="672"/>
      <c r="WF33" s="672"/>
      <c r="WG33" s="672"/>
      <c r="WH33" s="672"/>
      <c r="WI33" s="672"/>
      <c r="WJ33" s="672"/>
      <c r="WK33" s="672"/>
      <c r="WL33" s="672"/>
      <c r="WM33" s="672"/>
      <c r="WN33" s="672"/>
      <c r="WO33" s="672"/>
      <c r="WP33" s="672"/>
      <c r="WQ33" s="672"/>
      <c r="WR33" s="672"/>
      <c r="WS33" s="672"/>
      <c r="WT33" s="672"/>
      <c r="WU33" s="672"/>
      <c r="WV33" s="672"/>
      <c r="WW33" s="672"/>
      <c r="WX33" s="672"/>
      <c r="WY33" s="672"/>
      <c r="WZ33" s="672"/>
      <c r="XA33" s="672"/>
      <c r="XB33" s="672"/>
      <c r="XC33" s="672"/>
      <c r="XD33" s="672"/>
      <c r="XE33" s="672"/>
      <c r="XF33" s="672"/>
      <c r="XG33" s="672"/>
      <c r="XH33" s="672"/>
      <c r="XI33" s="672"/>
      <c r="XJ33" s="672"/>
      <c r="XK33" s="672"/>
      <c r="XL33" s="672"/>
      <c r="XM33" s="672"/>
      <c r="XN33" s="672"/>
      <c r="XO33" s="672"/>
      <c r="XP33" s="672"/>
      <c r="XQ33" s="672"/>
      <c r="XR33" s="672"/>
      <c r="XS33" s="672"/>
      <c r="XT33" s="672"/>
      <c r="XU33" s="672"/>
      <c r="XV33" s="672"/>
      <c r="XW33" s="672"/>
      <c r="XX33" s="672"/>
      <c r="XY33" s="672"/>
      <c r="XZ33" s="672"/>
      <c r="YA33" s="672"/>
      <c r="YB33" s="672"/>
      <c r="YC33" s="672"/>
      <c r="YD33" s="672"/>
      <c r="YE33" s="672"/>
      <c r="YF33" s="672"/>
      <c r="YG33" s="672"/>
      <c r="YH33" s="672"/>
      <c r="YI33" s="672"/>
      <c r="YJ33" s="672"/>
      <c r="YK33" s="672"/>
      <c r="YL33" s="672"/>
      <c r="YM33" s="672"/>
      <c r="YN33" s="672"/>
      <c r="YO33" s="672"/>
      <c r="YP33" s="672"/>
      <c r="YQ33" s="672"/>
      <c r="YR33" s="672"/>
      <c r="YS33" s="672"/>
      <c r="YT33" s="672"/>
      <c r="YU33" s="672"/>
      <c r="YV33" s="672"/>
      <c r="YW33" s="672"/>
      <c r="YX33" s="672"/>
      <c r="YY33" s="672"/>
      <c r="YZ33" s="672"/>
      <c r="ZA33" s="672"/>
      <c r="ZB33" s="672"/>
      <c r="ZC33" s="672"/>
      <c r="ZD33" s="672"/>
      <c r="ZE33" s="672"/>
      <c r="ZF33" s="672"/>
      <c r="ZG33" s="672"/>
      <c r="ZH33" s="672"/>
      <c r="ZI33" s="672"/>
      <c r="ZJ33" s="672"/>
      <c r="ZK33" s="672"/>
      <c r="ZL33" s="672"/>
      <c r="ZM33" s="672"/>
      <c r="ZN33" s="672"/>
      <c r="ZO33" s="672"/>
      <c r="ZP33" s="672"/>
      <c r="ZQ33" s="672"/>
      <c r="ZR33" s="672"/>
      <c r="ZS33" s="672"/>
      <c r="ZT33" s="672"/>
      <c r="ZU33" s="672"/>
      <c r="ZV33" s="672"/>
      <c r="ZW33" s="672"/>
      <c r="ZX33" s="672"/>
      <c r="ZY33" s="672"/>
      <c r="ZZ33" s="672"/>
      <c r="AAA33" s="672"/>
      <c r="AAB33" s="672"/>
      <c r="AAC33" s="672"/>
      <c r="AAD33" s="672"/>
      <c r="AAE33" s="672"/>
      <c r="AAF33" s="672"/>
      <c r="AAG33" s="672"/>
      <c r="AAH33" s="672"/>
      <c r="AAI33" s="672"/>
      <c r="AAJ33" s="672"/>
      <c r="AAK33" s="672"/>
      <c r="AAL33" s="672"/>
      <c r="AAM33" s="672"/>
      <c r="AAN33" s="672"/>
      <c r="AAO33" s="672"/>
      <c r="AAP33" s="672"/>
      <c r="AAQ33" s="672"/>
      <c r="AAR33" s="672"/>
      <c r="AAS33" s="672"/>
      <c r="AAT33" s="672"/>
      <c r="AAU33" s="672"/>
      <c r="AAV33" s="672"/>
      <c r="AAW33" s="672"/>
      <c r="AAX33" s="672"/>
      <c r="AAY33" s="672"/>
      <c r="AAZ33" s="672"/>
      <c r="ABA33" s="672"/>
      <c r="ABB33" s="672"/>
      <c r="ABC33" s="672"/>
      <c r="ABD33" s="672"/>
      <c r="ABE33" s="672"/>
      <c r="ABF33" s="672"/>
      <c r="ABG33" s="672"/>
      <c r="ABH33" s="672"/>
      <c r="ABI33" s="672"/>
      <c r="ABJ33" s="672"/>
      <c r="ABK33" s="672"/>
      <c r="ABL33" s="672"/>
      <c r="ABM33" s="672"/>
      <c r="ABN33" s="672"/>
      <c r="ABO33" s="672"/>
      <c r="ABP33" s="672"/>
      <c r="ABQ33" s="672"/>
      <c r="ABR33" s="672"/>
      <c r="ABS33" s="672"/>
      <c r="ABT33" s="672"/>
      <c r="ABU33" s="672"/>
      <c r="ABV33" s="672"/>
      <c r="ABW33" s="672"/>
      <c r="ABX33" s="672"/>
      <c r="ABY33" s="672"/>
      <c r="ABZ33" s="672"/>
      <c r="ACA33" s="672"/>
      <c r="ACB33" s="672"/>
      <c r="ACC33" s="672"/>
      <c r="ACD33" s="672"/>
      <c r="ACE33" s="672"/>
      <c r="ACF33" s="672"/>
      <c r="ACG33" s="672"/>
      <c r="ACH33" s="672"/>
      <c r="ACI33" s="672"/>
      <c r="ACJ33" s="672"/>
      <c r="ACK33" s="672"/>
      <c r="ACL33" s="672"/>
      <c r="ACM33" s="672"/>
      <c r="ACN33" s="672"/>
      <c r="ACO33" s="672"/>
      <c r="ACP33" s="672"/>
      <c r="ACQ33" s="672"/>
      <c r="ACR33" s="672"/>
      <c r="ACS33" s="672"/>
      <c r="ACT33" s="672"/>
      <c r="ACU33" s="672"/>
      <c r="ACV33" s="672"/>
      <c r="ACW33" s="672"/>
      <c r="ACX33" s="672"/>
      <c r="ACY33" s="672"/>
      <c r="ACZ33" s="672"/>
      <c r="ADA33" s="672"/>
      <c r="ADB33" s="672"/>
      <c r="ADC33" s="672"/>
      <c r="ADD33" s="672"/>
      <c r="ADE33" s="672"/>
      <c r="ADF33" s="672"/>
      <c r="ADG33" s="672"/>
      <c r="ADH33" s="672"/>
      <c r="ADI33" s="672"/>
      <c r="ADJ33" s="672"/>
      <c r="ADK33" s="672"/>
      <c r="ADL33" s="672"/>
      <c r="ADM33" s="672"/>
      <c r="ADN33" s="672"/>
      <c r="ADO33" s="672"/>
      <c r="ADP33" s="672"/>
      <c r="ADQ33" s="672"/>
      <c r="ADR33" s="672"/>
      <c r="ADS33" s="672"/>
      <c r="ADT33" s="672"/>
      <c r="ADU33" s="672"/>
      <c r="ADV33" s="672"/>
      <c r="ADW33" s="672"/>
      <c r="ADX33" s="672"/>
      <c r="ADY33" s="672"/>
      <c r="ADZ33" s="672"/>
      <c r="AEA33" s="672"/>
      <c r="AEB33" s="672"/>
      <c r="AEC33" s="672"/>
      <c r="AED33" s="672"/>
      <c r="AEE33" s="672"/>
      <c r="AEF33" s="672"/>
      <c r="AEG33" s="672"/>
      <c r="AEH33" s="672"/>
      <c r="AEI33" s="672"/>
      <c r="AEJ33" s="672"/>
      <c r="AEK33" s="672"/>
      <c r="AEL33" s="672"/>
      <c r="AEM33" s="672"/>
      <c r="AEN33" s="672"/>
      <c r="AEO33" s="672"/>
      <c r="AEP33" s="672"/>
      <c r="AEQ33" s="672"/>
      <c r="AER33" s="672"/>
      <c r="AES33" s="672"/>
      <c r="AET33" s="672"/>
      <c r="AEU33" s="672"/>
      <c r="AEV33" s="672"/>
      <c r="AEW33" s="672"/>
      <c r="AEX33" s="672"/>
      <c r="AEY33" s="672"/>
      <c r="AEZ33" s="672"/>
      <c r="AFA33" s="672"/>
      <c r="AFB33" s="672"/>
      <c r="AFC33" s="672"/>
      <c r="AFD33" s="672"/>
      <c r="AFE33" s="672"/>
      <c r="AFF33" s="672"/>
      <c r="AFG33" s="672"/>
      <c r="AFH33" s="672"/>
      <c r="AFI33" s="672"/>
      <c r="AFJ33" s="672"/>
      <c r="AFK33" s="672"/>
      <c r="AFL33" s="672"/>
      <c r="AFM33" s="672"/>
      <c r="AFN33" s="672"/>
      <c r="AFO33" s="672"/>
      <c r="AFP33" s="672"/>
      <c r="AFQ33" s="672"/>
      <c r="AFR33" s="672"/>
      <c r="AFS33" s="672"/>
      <c r="AFT33" s="672"/>
      <c r="AFU33" s="672"/>
      <c r="AFV33" s="672"/>
      <c r="AFW33" s="672"/>
      <c r="AFX33" s="672"/>
      <c r="AFY33" s="672"/>
      <c r="AFZ33" s="672"/>
      <c r="AGA33" s="672"/>
      <c r="AGB33" s="672"/>
      <c r="AGC33" s="672"/>
      <c r="AGD33" s="672"/>
      <c r="AGE33" s="672"/>
      <c r="AGF33" s="672"/>
      <c r="AGG33" s="672"/>
      <c r="AGH33" s="672"/>
      <c r="AGI33" s="672"/>
      <c r="AGJ33" s="672"/>
      <c r="AGK33" s="672"/>
      <c r="AGL33" s="672"/>
      <c r="AGM33" s="672"/>
      <c r="AGN33" s="672"/>
      <c r="AGO33" s="672"/>
      <c r="AGP33" s="672"/>
      <c r="AGQ33" s="672"/>
      <c r="AGR33" s="672"/>
      <c r="AGS33" s="672"/>
      <c r="AGT33" s="672"/>
      <c r="AGU33" s="672"/>
      <c r="AGV33" s="672"/>
      <c r="AGW33" s="672"/>
      <c r="AGX33" s="672"/>
      <c r="AGY33" s="672"/>
      <c r="AGZ33" s="672"/>
      <c r="AHA33" s="672"/>
      <c r="AHB33" s="672"/>
      <c r="AHC33" s="672"/>
      <c r="AHD33" s="672"/>
      <c r="AHE33" s="672"/>
      <c r="AHF33" s="672"/>
      <c r="AHG33" s="672"/>
      <c r="AHH33" s="672"/>
      <c r="AHI33" s="672"/>
      <c r="AHJ33" s="672"/>
      <c r="AHK33" s="672"/>
      <c r="AHL33" s="672"/>
      <c r="AHM33" s="672"/>
      <c r="AHN33" s="672"/>
      <c r="AHO33" s="672"/>
      <c r="AHP33" s="672"/>
      <c r="AHQ33" s="672"/>
      <c r="AHR33" s="672"/>
      <c r="AHS33" s="672"/>
      <c r="AHT33" s="672"/>
      <c r="AHU33" s="672"/>
      <c r="AHV33" s="672"/>
      <c r="AHW33" s="672"/>
      <c r="AHX33" s="672"/>
      <c r="AHY33" s="672"/>
      <c r="AHZ33" s="672"/>
      <c r="AIA33" s="672"/>
      <c r="AIB33" s="672"/>
      <c r="AIC33" s="672"/>
      <c r="AID33" s="672"/>
      <c r="AIE33" s="672"/>
      <c r="AIF33" s="672"/>
      <c r="AIG33" s="672"/>
      <c r="AIH33" s="672"/>
      <c r="AII33" s="672"/>
      <c r="AIJ33" s="672"/>
      <c r="AIK33" s="672"/>
      <c r="AIL33" s="672"/>
      <c r="AIM33" s="672"/>
      <c r="AIN33" s="672"/>
      <c r="AIO33" s="672"/>
      <c r="AIP33" s="672"/>
      <c r="AIQ33" s="672"/>
      <c r="AIR33" s="672"/>
      <c r="AIS33" s="672"/>
      <c r="AIT33" s="672"/>
      <c r="AIU33" s="672"/>
      <c r="AIV33" s="672"/>
      <c r="AIW33" s="672"/>
      <c r="AIX33" s="672"/>
      <c r="AIY33" s="672"/>
      <c r="AIZ33" s="672"/>
      <c r="AJA33" s="672"/>
      <c r="AJB33" s="672"/>
      <c r="AJC33" s="672"/>
      <c r="AJD33" s="672"/>
      <c r="AJE33" s="672"/>
      <c r="AJF33" s="672"/>
      <c r="AJG33" s="672"/>
      <c r="AJH33" s="672"/>
      <c r="AJI33" s="672"/>
      <c r="AJJ33" s="672"/>
      <c r="AJK33" s="672"/>
      <c r="AJL33" s="672"/>
      <c r="AJM33" s="672"/>
      <c r="AJN33" s="672"/>
      <c r="AJO33" s="672"/>
      <c r="AJP33" s="672"/>
      <c r="AJQ33" s="672"/>
      <c r="AJR33" s="672"/>
      <c r="AJS33" s="672"/>
      <c r="AJT33" s="672"/>
      <c r="AJU33" s="672"/>
      <c r="AJV33" s="672"/>
      <c r="AJW33" s="672"/>
      <c r="AJX33" s="672"/>
      <c r="AJY33" s="672"/>
      <c r="AJZ33" s="672"/>
      <c r="AKA33" s="672"/>
      <c r="AKB33" s="672"/>
      <c r="AKC33" s="672"/>
      <c r="AKD33" s="672"/>
      <c r="AKE33" s="672"/>
      <c r="AKF33" s="672"/>
      <c r="AKG33" s="672"/>
      <c r="AKH33" s="672"/>
      <c r="AKI33" s="672"/>
      <c r="AKJ33" s="672"/>
      <c r="AKK33" s="672"/>
      <c r="AKL33" s="672"/>
      <c r="AKM33" s="672"/>
      <c r="AKN33" s="672"/>
      <c r="AKO33" s="672"/>
      <c r="AKP33" s="672"/>
      <c r="AKQ33" s="672"/>
      <c r="AKR33" s="672"/>
      <c r="AKS33" s="672"/>
      <c r="AKT33" s="672"/>
      <c r="AKU33" s="672"/>
      <c r="AKV33" s="672"/>
      <c r="AKW33" s="672"/>
      <c r="AKX33" s="672"/>
      <c r="AKY33" s="672"/>
      <c r="AKZ33" s="672"/>
      <c r="ALA33" s="672"/>
      <c r="ALB33" s="672"/>
      <c r="ALC33" s="672"/>
      <c r="ALD33" s="672"/>
      <c r="ALE33" s="672"/>
      <c r="ALF33" s="672"/>
      <c r="ALG33" s="672"/>
      <c r="ALH33" s="672"/>
      <c r="ALI33" s="672"/>
      <c r="ALJ33" s="672"/>
      <c r="ALK33" s="672"/>
      <c r="ALL33" s="672"/>
      <c r="ALM33" s="672"/>
      <c r="ALN33" s="672"/>
      <c r="ALO33" s="672"/>
      <c r="ALP33" s="672"/>
      <c r="ALQ33" s="672"/>
      <c r="ALR33" s="672"/>
      <c r="ALS33" s="672"/>
      <c r="ALT33" s="672"/>
      <c r="ALU33" s="672"/>
      <c r="ALV33" s="672"/>
      <c r="ALW33" s="672"/>
      <c r="ALX33" s="672"/>
      <c r="ALY33" s="672"/>
      <c r="ALZ33" s="672"/>
      <c r="AMA33" s="672"/>
      <c r="AMB33" s="672"/>
      <c r="AMC33" s="672"/>
      <c r="AMD33" s="672"/>
      <c r="AME33" s="672"/>
      <c r="AMF33" s="672"/>
      <c r="AMG33" s="672"/>
      <c r="AMH33" s="672"/>
      <c r="AMI33" s="672"/>
      <c r="AMJ33" s="672"/>
      <c r="AMK33" s="672"/>
      <c r="AML33" s="672"/>
      <c r="AMM33" s="672"/>
      <c r="AMN33" s="672"/>
      <c r="AMO33" s="672"/>
      <c r="AMP33" s="672"/>
      <c r="AMQ33" s="672"/>
      <c r="AMR33" s="672"/>
      <c r="AMS33" s="672"/>
      <c r="AMT33" s="672"/>
      <c r="AMU33" s="672"/>
      <c r="AMV33" s="672"/>
      <c r="AMW33" s="672"/>
      <c r="AMX33" s="672"/>
      <c r="AMY33" s="672"/>
      <c r="AMZ33" s="672"/>
      <c r="ANA33" s="672"/>
      <c r="ANB33" s="672"/>
      <c r="ANC33" s="672"/>
      <c r="AND33" s="672"/>
      <c r="ANE33" s="672"/>
      <c r="ANF33" s="672"/>
      <c r="ANG33" s="672"/>
      <c r="ANH33" s="672"/>
      <c r="ANI33" s="672"/>
      <c r="ANJ33" s="672"/>
      <c r="ANK33" s="672"/>
      <c r="ANL33" s="672"/>
      <c r="ANM33" s="672"/>
      <c r="ANN33" s="672"/>
      <c r="ANO33" s="672"/>
      <c r="ANP33" s="672"/>
      <c r="ANQ33" s="672"/>
      <c r="ANR33" s="672"/>
      <c r="ANS33" s="672"/>
      <c r="ANT33" s="672"/>
      <c r="ANU33" s="672"/>
      <c r="ANV33" s="672"/>
      <c r="ANW33" s="672"/>
      <c r="ANX33" s="672"/>
      <c r="ANY33" s="672"/>
      <c r="ANZ33" s="672"/>
      <c r="AOA33" s="672"/>
      <c r="AOB33" s="672"/>
      <c r="AOC33" s="672"/>
      <c r="AOD33" s="672"/>
      <c r="AOE33" s="672"/>
      <c r="AOF33" s="672"/>
      <c r="AOG33" s="672"/>
      <c r="AOH33" s="672"/>
      <c r="AOI33" s="672"/>
      <c r="AOJ33" s="672"/>
      <c r="AOK33" s="672"/>
      <c r="AOL33" s="672"/>
      <c r="AOM33" s="672"/>
      <c r="AON33" s="672"/>
      <c r="AOO33" s="672"/>
      <c r="AOP33" s="672"/>
      <c r="AOQ33" s="672"/>
      <c r="AOR33" s="672"/>
      <c r="AOS33" s="672"/>
      <c r="AOT33" s="672"/>
      <c r="AOU33" s="672"/>
      <c r="AOV33" s="672"/>
      <c r="AOW33" s="672"/>
      <c r="AOX33" s="672"/>
      <c r="AOY33" s="672"/>
      <c r="AOZ33" s="672"/>
      <c r="APA33" s="672"/>
      <c r="APB33" s="672"/>
      <c r="APC33" s="672"/>
      <c r="APD33" s="672"/>
      <c r="APE33" s="672"/>
      <c r="APF33" s="672"/>
      <c r="APG33" s="672"/>
      <c r="APH33" s="672"/>
      <c r="API33" s="672"/>
      <c r="APJ33" s="672"/>
      <c r="APK33" s="672"/>
      <c r="APL33" s="672"/>
      <c r="APM33" s="672"/>
      <c r="APN33" s="672"/>
      <c r="APO33" s="672"/>
      <c r="APP33" s="672"/>
      <c r="APQ33" s="672"/>
      <c r="APR33" s="672"/>
      <c r="APS33" s="672"/>
      <c r="APT33" s="672"/>
      <c r="APU33" s="672"/>
      <c r="APV33" s="672"/>
      <c r="APW33" s="672"/>
      <c r="APX33" s="672"/>
      <c r="APY33" s="672"/>
      <c r="APZ33" s="672"/>
      <c r="AQA33" s="672"/>
      <c r="AQB33" s="672"/>
      <c r="AQC33" s="672"/>
      <c r="AQD33" s="672"/>
      <c r="AQE33" s="672"/>
      <c r="AQF33" s="672"/>
      <c r="AQG33" s="672"/>
      <c r="AQH33" s="672"/>
      <c r="AQI33" s="672"/>
      <c r="AQJ33" s="672"/>
      <c r="AQK33" s="672"/>
      <c r="AQL33" s="672"/>
      <c r="AQM33" s="672"/>
      <c r="AQN33" s="672"/>
      <c r="AQO33" s="672"/>
      <c r="AQP33" s="672"/>
      <c r="AQQ33" s="672"/>
      <c r="AQR33" s="672"/>
      <c r="AQS33" s="672"/>
      <c r="AQT33" s="672"/>
      <c r="AQU33" s="672"/>
      <c r="AQV33" s="672"/>
      <c r="AQW33" s="672"/>
      <c r="AQX33" s="672"/>
      <c r="AQY33" s="672"/>
      <c r="AQZ33" s="672"/>
      <c r="ARA33" s="672"/>
      <c r="ARB33" s="672"/>
      <c r="ARC33" s="672"/>
      <c r="ARD33" s="672"/>
      <c r="ARE33" s="672"/>
      <c r="ARF33" s="672"/>
      <c r="ARG33" s="672"/>
      <c r="ARH33" s="672"/>
      <c r="ARI33" s="672"/>
      <c r="ARJ33" s="672"/>
      <c r="ARK33" s="672"/>
      <c r="ARL33" s="672"/>
      <c r="ARM33" s="672"/>
      <c r="ARN33" s="672"/>
      <c r="ARO33" s="672"/>
      <c r="ARP33" s="672"/>
      <c r="ARQ33" s="672"/>
      <c r="ARR33" s="672"/>
      <c r="ARS33" s="672"/>
      <c r="ART33" s="672"/>
      <c r="ARU33" s="672"/>
      <c r="ARV33" s="672"/>
      <c r="ARW33" s="672"/>
      <c r="ARX33" s="672"/>
      <c r="ARY33" s="672"/>
      <c r="ARZ33" s="672"/>
      <c r="ASA33" s="672"/>
      <c r="ASB33" s="672"/>
      <c r="ASC33" s="672"/>
      <c r="ASD33" s="672"/>
      <c r="ASE33" s="672"/>
      <c r="ASF33" s="672"/>
      <c r="ASG33" s="672"/>
      <c r="ASH33" s="672"/>
      <c r="ASI33" s="672"/>
      <c r="ASJ33" s="672"/>
      <c r="ASK33" s="672"/>
      <c r="ASL33" s="672"/>
      <c r="ASM33" s="672"/>
      <c r="ASN33" s="672"/>
      <c r="ASO33" s="672"/>
      <c r="ASP33" s="672"/>
      <c r="ASQ33" s="672"/>
      <c r="ASR33" s="672"/>
      <c r="ASS33" s="672"/>
      <c r="AST33" s="672"/>
      <c r="ASU33" s="672"/>
      <c r="ASV33" s="672"/>
      <c r="ASW33" s="672"/>
      <c r="ASX33" s="672"/>
      <c r="ASY33" s="672"/>
      <c r="ASZ33" s="672"/>
      <c r="ATA33" s="672"/>
      <c r="ATB33" s="672"/>
      <c r="ATC33" s="672"/>
      <c r="ATD33" s="672"/>
      <c r="ATE33" s="672"/>
      <c r="ATF33" s="672"/>
      <c r="ATG33" s="672"/>
      <c r="ATH33" s="672"/>
      <c r="ATI33" s="672"/>
      <c r="ATJ33" s="672"/>
      <c r="ATK33" s="672"/>
      <c r="ATL33" s="672"/>
      <c r="ATM33" s="672"/>
      <c r="ATN33" s="672"/>
      <c r="ATO33" s="672"/>
      <c r="ATP33" s="672"/>
      <c r="ATQ33" s="672"/>
      <c r="ATR33" s="672"/>
      <c r="ATS33" s="672"/>
      <c r="ATT33" s="672"/>
      <c r="ATU33" s="672"/>
      <c r="ATV33" s="672"/>
      <c r="ATW33" s="672"/>
      <c r="ATX33" s="672"/>
      <c r="ATY33" s="672"/>
      <c r="ATZ33" s="672"/>
      <c r="AUA33" s="672"/>
      <c r="AUB33" s="672"/>
      <c r="AUC33" s="672"/>
      <c r="AUD33" s="672"/>
      <c r="AUE33" s="672"/>
      <c r="AUF33" s="672"/>
      <c r="AUG33" s="672"/>
      <c r="AUH33" s="672"/>
      <c r="AUI33" s="672"/>
      <c r="AUJ33" s="672"/>
      <c r="AUK33" s="672"/>
      <c r="AUL33" s="672"/>
      <c r="AUM33" s="672"/>
      <c r="AUN33" s="672"/>
      <c r="AUO33" s="672"/>
      <c r="AUP33" s="672"/>
      <c r="AUQ33" s="672"/>
      <c r="AUR33" s="672"/>
      <c r="AUS33" s="672"/>
      <c r="AUT33" s="672"/>
      <c r="AUU33" s="672"/>
      <c r="AUV33" s="672"/>
      <c r="AUW33" s="672"/>
      <c r="AUX33" s="672"/>
      <c r="AUY33" s="672"/>
      <c r="AUZ33" s="672"/>
      <c r="AVA33" s="672"/>
      <c r="AVB33" s="672"/>
      <c r="AVC33" s="672"/>
      <c r="AVD33" s="672"/>
      <c r="AVE33" s="672"/>
      <c r="AVF33" s="672"/>
      <c r="AVG33" s="672"/>
      <c r="AVH33" s="672"/>
      <c r="AVI33" s="672"/>
      <c r="AVJ33" s="672"/>
      <c r="AVK33" s="672"/>
      <c r="AVL33" s="672"/>
      <c r="AVM33" s="672"/>
      <c r="AVN33" s="672"/>
      <c r="AVO33" s="672"/>
      <c r="AVP33" s="672"/>
      <c r="AVQ33" s="672"/>
      <c r="AVR33" s="672"/>
      <c r="AVS33" s="672"/>
      <c r="AVT33" s="672"/>
      <c r="AVU33" s="672"/>
      <c r="AVV33" s="672"/>
      <c r="AVW33" s="672"/>
      <c r="AVX33" s="672"/>
      <c r="AVY33" s="672"/>
      <c r="AVZ33" s="672"/>
      <c r="AWA33" s="672"/>
      <c r="AWB33" s="672"/>
      <c r="AWC33" s="672"/>
      <c r="AWD33" s="672"/>
      <c r="AWE33" s="672"/>
      <c r="AWF33" s="672"/>
      <c r="AWG33" s="672"/>
      <c r="AWH33" s="672"/>
      <c r="AWI33" s="672"/>
      <c r="AWJ33" s="672"/>
      <c r="AWK33" s="672"/>
      <c r="AWL33" s="672"/>
      <c r="AWM33" s="672"/>
      <c r="AWN33" s="672"/>
      <c r="AWO33" s="672"/>
      <c r="AWP33" s="672"/>
      <c r="AWQ33" s="672"/>
      <c r="AWR33" s="672"/>
      <c r="AWS33" s="672"/>
      <c r="AWT33" s="672"/>
      <c r="AWU33" s="672"/>
      <c r="AWV33" s="672"/>
      <c r="AWW33" s="672"/>
      <c r="AWX33" s="672"/>
      <c r="AWY33" s="672"/>
      <c r="AWZ33" s="672"/>
      <c r="AXA33" s="672"/>
      <c r="AXB33" s="672"/>
      <c r="AXC33" s="672"/>
      <c r="AXD33" s="672"/>
      <c r="AXE33" s="672"/>
      <c r="AXF33" s="672"/>
      <c r="AXG33" s="672"/>
      <c r="AXH33" s="672"/>
      <c r="AXI33" s="672"/>
      <c r="AXJ33" s="672"/>
      <c r="AXK33" s="672"/>
      <c r="AXL33" s="672"/>
      <c r="AXM33" s="672"/>
      <c r="AXN33" s="672"/>
      <c r="AXO33" s="672"/>
      <c r="AXP33" s="672"/>
      <c r="AXQ33" s="672"/>
      <c r="AXR33" s="672"/>
      <c r="AXS33" s="672"/>
      <c r="AXT33" s="672"/>
      <c r="AXU33" s="672"/>
      <c r="AXV33" s="672"/>
      <c r="AXW33" s="672"/>
      <c r="AXX33" s="672"/>
      <c r="AXY33" s="672"/>
      <c r="AXZ33" s="672"/>
      <c r="AYA33" s="672"/>
      <c r="AYB33" s="672"/>
      <c r="AYC33" s="672"/>
      <c r="AYD33" s="672"/>
      <c r="AYE33" s="672"/>
      <c r="AYF33" s="672"/>
      <c r="AYG33" s="672"/>
      <c r="AYH33" s="672"/>
      <c r="AYI33" s="672"/>
      <c r="AYJ33" s="672"/>
      <c r="AYK33" s="672"/>
      <c r="AYL33" s="672"/>
      <c r="AYM33" s="672"/>
      <c r="AYN33" s="672"/>
      <c r="AYO33" s="672"/>
      <c r="AYP33" s="672"/>
      <c r="AYQ33" s="672"/>
      <c r="AYR33" s="672"/>
      <c r="AYS33" s="672"/>
      <c r="AYT33" s="672"/>
      <c r="AYU33" s="672"/>
      <c r="AYV33" s="672"/>
      <c r="AYW33" s="672"/>
      <c r="AYX33" s="672"/>
      <c r="AYY33" s="672"/>
      <c r="AYZ33" s="672"/>
      <c r="AZA33" s="672"/>
      <c r="AZB33" s="672"/>
      <c r="AZC33" s="672"/>
      <c r="AZD33" s="672"/>
      <c r="AZE33" s="672"/>
      <c r="AZF33" s="672"/>
      <c r="AZG33" s="672"/>
      <c r="AZH33" s="672"/>
      <c r="AZI33" s="672"/>
      <c r="AZJ33" s="672"/>
      <c r="AZK33" s="672"/>
      <c r="AZL33" s="672"/>
      <c r="AZM33" s="672"/>
      <c r="AZN33" s="672"/>
      <c r="AZO33" s="672"/>
      <c r="AZP33" s="672"/>
      <c r="AZQ33" s="672"/>
      <c r="AZR33" s="672"/>
      <c r="AZS33" s="672"/>
      <c r="AZT33" s="672"/>
      <c r="AZU33" s="672"/>
      <c r="AZV33" s="672"/>
      <c r="AZW33" s="672"/>
      <c r="AZX33" s="672"/>
      <c r="AZY33" s="672"/>
      <c r="AZZ33" s="672"/>
      <c r="BAA33" s="672"/>
      <c r="BAB33" s="672"/>
      <c r="BAC33" s="672"/>
      <c r="BAD33" s="672"/>
      <c r="BAE33" s="672"/>
      <c r="BAF33" s="672"/>
      <c r="BAG33" s="672"/>
      <c r="BAH33" s="672"/>
      <c r="BAI33" s="672"/>
      <c r="BAJ33" s="672"/>
      <c r="BAK33" s="672"/>
      <c r="BAL33" s="672"/>
      <c r="BAM33" s="672"/>
      <c r="BAN33" s="672"/>
      <c r="BAO33" s="672"/>
      <c r="BAP33" s="672"/>
      <c r="BAQ33" s="672"/>
      <c r="BAR33" s="672"/>
      <c r="BAS33" s="672"/>
      <c r="BAT33" s="672"/>
      <c r="BAU33" s="672"/>
      <c r="BAV33" s="672"/>
      <c r="BAW33" s="672"/>
      <c r="BAX33" s="672"/>
      <c r="BAY33" s="672"/>
      <c r="BAZ33" s="672"/>
      <c r="BBA33" s="672"/>
      <c r="BBB33" s="672"/>
      <c r="BBC33" s="672"/>
      <c r="BBD33" s="672"/>
      <c r="BBE33" s="672"/>
      <c r="BBF33" s="672"/>
      <c r="BBG33" s="672"/>
      <c r="BBH33" s="672"/>
      <c r="BBI33" s="672"/>
      <c r="BBJ33" s="672"/>
      <c r="BBK33" s="672"/>
      <c r="BBL33" s="672"/>
      <c r="BBM33" s="672"/>
      <c r="BBN33" s="672"/>
      <c r="BBO33" s="672"/>
      <c r="BBP33" s="672"/>
      <c r="BBQ33" s="672"/>
      <c r="BBR33" s="672"/>
      <c r="BBS33" s="672"/>
      <c r="BBT33" s="672"/>
      <c r="BBU33" s="672"/>
      <c r="BBV33" s="672"/>
      <c r="BBW33" s="672"/>
      <c r="BBX33" s="672"/>
      <c r="BBY33" s="672"/>
      <c r="BBZ33" s="672"/>
      <c r="BCA33" s="672"/>
      <c r="BCB33" s="672"/>
      <c r="BCC33" s="672"/>
      <c r="BCD33" s="672"/>
      <c r="BCE33" s="672"/>
      <c r="BCF33" s="672"/>
      <c r="BCG33" s="672"/>
      <c r="BCH33" s="672"/>
      <c r="BCI33" s="672"/>
      <c r="BCJ33" s="672"/>
      <c r="BCK33" s="672"/>
      <c r="BCL33" s="672"/>
      <c r="BCM33" s="672"/>
      <c r="BCN33" s="672"/>
      <c r="BCO33" s="672"/>
      <c r="BCP33" s="672"/>
      <c r="BCQ33" s="672"/>
      <c r="BCR33" s="672"/>
      <c r="BCS33" s="672"/>
      <c r="BCT33" s="672"/>
      <c r="BCU33" s="672"/>
      <c r="BCV33" s="672"/>
      <c r="BCW33" s="672"/>
      <c r="BCX33" s="672"/>
      <c r="BCY33" s="672"/>
      <c r="BCZ33" s="672"/>
      <c r="BDA33" s="672"/>
      <c r="BDB33" s="672"/>
      <c r="BDC33" s="672"/>
      <c r="BDD33" s="672"/>
      <c r="BDE33" s="672"/>
      <c r="BDF33" s="672"/>
      <c r="BDG33" s="672"/>
      <c r="BDH33" s="672"/>
      <c r="BDI33" s="672"/>
      <c r="BDJ33" s="672"/>
      <c r="BDK33" s="672"/>
      <c r="BDL33" s="672"/>
      <c r="BDM33" s="672"/>
      <c r="BDN33" s="672"/>
      <c r="BDO33" s="672"/>
      <c r="BDP33" s="672"/>
      <c r="BDQ33" s="672"/>
      <c r="BDR33" s="672"/>
      <c r="BDS33" s="672"/>
      <c r="BDT33" s="672"/>
      <c r="BDU33" s="672"/>
      <c r="BDV33" s="672"/>
      <c r="BDW33" s="672"/>
      <c r="BDX33" s="672"/>
      <c r="BDY33" s="672"/>
      <c r="BDZ33" s="672"/>
      <c r="BEA33" s="672"/>
      <c r="BEB33" s="672"/>
      <c r="BEC33" s="672"/>
      <c r="BED33" s="672"/>
      <c r="BEE33" s="672"/>
      <c r="BEF33" s="672"/>
      <c r="BEG33" s="672"/>
      <c r="BEH33" s="672"/>
      <c r="BEI33" s="672"/>
      <c r="BEJ33" s="672"/>
      <c r="BEK33" s="672"/>
      <c r="BEL33" s="672"/>
      <c r="BEM33" s="672"/>
      <c r="BEN33" s="672"/>
      <c r="BEO33" s="672"/>
      <c r="BEP33" s="672"/>
      <c r="BEQ33" s="672"/>
      <c r="BER33" s="672"/>
      <c r="BES33" s="672"/>
      <c r="BET33" s="672"/>
      <c r="BEU33" s="672"/>
      <c r="BEV33" s="672"/>
      <c r="BEW33" s="672"/>
      <c r="BEX33" s="672"/>
      <c r="BEY33" s="672"/>
      <c r="BEZ33" s="672"/>
      <c r="BFA33" s="672"/>
      <c r="BFB33" s="672"/>
      <c r="BFC33" s="672"/>
      <c r="BFD33" s="672"/>
      <c r="BFE33" s="672"/>
      <c r="BFF33" s="672"/>
      <c r="BFG33" s="672"/>
      <c r="BFH33" s="672"/>
      <c r="BFI33" s="672"/>
      <c r="BFJ33" s="672"/>
      <c r="BFK33" s="672"/>
      <c r="BFL33" s="672"/>
      <c r="BFM33" s="672"/>
      <c r="BFN33" s="672"/>
      <c r="BFO33" s="672"/>
      <c r="BFP33" s="672"/>
      <c r="BFQ33" s="672"/>
      <c r="BFR33" s="672"/>
      <c r="BFS33" s="672"/>
      <c r="BFT33" s="672"/>
      <c r="BFU33" s="672"/>
      <c r="BFV33" s="672"/>
      <c r="BFW33" s="672"/>
      <c r="BFX33" s="672"/>
      <c r="BFY33" s="672"/>
      <c r="BFZ33" s="672"/>
      <c r="BGA33" s="672"/>
      <c r="BGB33" s="672"/>
      <c r="BGC33" s="672"/>
      <c r="BGD33" s="672"/>
      <c r="BGE33" s="672"/>
      <c r="BGF33" s="672"/>
      <c r="BGG33" s="672"/>
      <c r="BGH33" s="672"/>
      <c r="BGI33" s="672"/>
      <c r="BGJ33" s="672"/>
      <c r="BGK33" s="672"/>
      <c r="BGL33" s="672"/>
      <c r="BGM33" s="672"/>
      <c r="BGN33" s="672"/>
      <c r="BGO33" s="672"/>
      <c r="BGP33" s="672"/>
      <c r="BGQ33" s="672"/>
      <c r="BGR33" s="672"/>
      <c r="BGS33" s="672"/>
      <c r="BGT33" s="672"/>
      <c r="BGU33" s="672"/>
      <c r="BGV33" s="672"/>
      <c r="BGW33" s="672"/>
      <c r="BGX33" s="672"/>
      <c r="BGY33" s="672"/>
      <c r="BGZ33" s="672"/>
      <c r="BHA33" s="672"/>
      <c r="BHB33" s="672"/>
      <c r="BHC33" s="672"/>
      <c r="BHD33" s="672"/>
      <c r="BHE33" s="672"/>
      <c r="BHF33" s="672"/>
      <c r="BHG33" s="672"/>
      <c r="BHH33" s="672"/>
      <c r="BHI33" s="672"/>
      <c r="BHJ33" s="672"/>
      <c r="BHK33" s="672"/>
      <c r="BHL33" s="672"/>
      <c r="BHM33" s="672"/>
      <c r="BHN33" s="672"/>
      <c r="BHO33" s="672"/>
      <c r="BHP33" s="672"/>
      <c r="BHQ33" s="672"/>
      <c r="BHR33" s="672"/>
      <c r="BHS33" s="672"/>
      <c r="BHT33" s="672"/>
      <c r="BHU33" s="672"/>
      <c r="BHV33" s="672"/>
      <c r="BHW33" s="672"/>
      <c r="BHX33" s="672"/>
      <c r="BHY33" s="672"/>
      <c r="BHZ33" s="672"/>
      <c r="BIA33" s="672"/>
      <c r="BIB33" s="672"/>
      <c r="BIC33" s="672"/>
      <c r="BID33" s="672"/>
      <c r="BIE33" s="672"/>
      <c r="BIF33" s="672"/>
      <c r="BIG33" s="672"/>
      <c r="BIH33" s="672"/>
      <c r="BII33" s="672"/>
      <c r="BIJ33" s="672"/>
      <c r="BIK33" s="672"/>
      <c r="BIL33" s="672"/>
      <c r="BIM33" s="672"/>
      <c r="BIN33" s="672"/>
      <c r="BIO33" s="672"/>
      <c r="BIP33" s="672"/>
      <c r="BIQ33" s="672"/>
      <c r="BIR33" s="672"/>
      <c r="BIS33" s="672"/>
      <c r="BIT33" s="672"/>
      <c r="BIU33" s="672"/>
      <c r="BIV33" s="672"/>
      <c r="BIW33" s="672"/>
      <c r="BIX33" s="672"/>
      <c r="BIY33" s="672"/>
      <c r="BIZ33" s="672"/>
      <c r="BJA33" s="672"/>
      <c r="BJB33" s="672"/>
      <c r="BJC33" s="672"/>
      <c r="BJD33" s="672"/>
      <c r="BJE33" s="672"/>
      <c r="BJF33" s="672"/>
      <c r="BJG33" s="672"/>
      <c r="BJH33" s="672"/>
      <c r="BJI33" s="672"/>
      <c r="BJJ33" s="672"/>
      <c r="BJK33" s="672"/>
      <c r="BJL33" s="672"/>
      <c r="BJM33" s="672"/>
      <c r="BJN33" s="672"/>
      <c r="BJO33" s="672"/>
      <c r="BJP33" s="672"/>
      <c r="BJQ33" s="672"/>
      <c r="BJR33" s="672"/>
      <c r="BJS33" s="672"/>
      <c r="BJT33" s="672"/>
      <c r="BJU33" s="672"/>
      <c r="BJV33" s="672"/>
      <c r="BJW33" s="672"/>
      <c r="BJX33" s="672"/>
      <c r="BJY33" s="672"/>
      <c r="BJZ33" s="672"/>
      <c r="BKA33" s="672"/>
      <c r="BKB33" s="672"/>
      <c r="BKC33" s="672"/>
      <c r="BKD33" s="672"/>
      <c r="BKE33" s="672"/>
      <c r="BKF33" s="672"/>
      <c r="BKG33" s="672"/>
      <c r="BKH33" s="672"/>
      <c r="BKI33" s="672"/>
      <c r="BKJ33" s="672"/>
      <c r="BKK33" s="672"/>
      <c r="BKL33" s="672"/>
      <c r="BKM33" s="672"/>
      <c r="BKN33" s="672"/>
      <c r="BKO33" s="672"/>
      <c r="BKP33" s="672"/>
      <c r="BKQ33" s="672"/>
      <c r="BKR33" s="672"/>
      <c r="BKS33" s="672"/>
      <c r="BKT33" s="672"/>
      <c r="BKU33" s="672"/>
      <c r="BKV33" s="672"/>
      <c r="BKW33" s="672"/>
      <c r="BKX33" s="672"/>
      <c r="BKY33" s="672"/>
      <c r="BKZ33" s="672"/>
      <c r="BLA33" s="672"/>
      <c r="BLB33" s="672"/>
      <c r="BLC33" s="672"/>
      <c r="BLD33" s="672"/>
      <c r="BLE33" s="672"/>
      <c r="BLF33" s="672"/>
      <c r="BLG33" s="672"/>
      <c r="BLH33" s="672"/>
      <c r="BLI33" s="672"/>
      <c r="BLJ33" s="672"/>
      <c r="BLK33" s="672"/>
      <c r="BLL33" s="672"/>
      <c r="BLM33" s="672"/>
      <c r="BLN33" s="672"/>
      <c r="BLO33" s="672"/>
      <c r="BLP33" s="672"/>
      <c r="BLQ33" s="672"/>
      <c r="BLR33" s="672"/>
      <c r="BLS33" s="672"/>
      <c r="BLT33" s="672"/>
      <c r="BLU33" s="672"/>
      <c r="BLV33" s="672"/>
      <c r="BLW33" s="672"/>
      <c r="BLX33" s="672"/>
      <c r="BLY33" s="672"/>
      <c r="BLZ33" s="672"/>
      <c r="BMA33" s="672"/>
      <c r="BMB33" s="672"/>
      <c r="BMC33" s="672"/>
      <c r="BMD33" s="672"/>
      <c r="BME33" s="672"/>
      <c r="BMF33" s="672"/>
      <c r="BMG33" s="672"/>
      <c r="BMH33" s="672"/>
      <c r="BMI33" s="672"/>
      <c r="BMJ33" s="672"/>
      <c r="BMK33" s="672"/>
      <c r="BML33" s="672"/>
      <c r="BMM33" s="672"/>
      <c r="BMN33" s="672"/>
      <c r="BMO33" s="672"/>
      <c r="BMP33" s="672"/>
      <c r="BMQ33" s="672"/>
      <c r="BMR33" s="672"/>
      <c r="BMS33" s="672"/>
      <c r="BMT33" s="672"/>
      <c r="BMU33" s="672"/>
      <c r="BMV33" s="672"/>
      <c r="BMW33" s="672"/>
      <c r="BMX33" s="672"/>
      <c r="BMY33" s="672"/>
      <c r="BMZ33" s="672"/>
      <c r="BNA33" s="672"/>
      <c r="BNB33" s="672"/>
      <c r="BNC33" s="672"/>
      <c r="BND33" s="672"/>
      <c r="BNE33" s="672"/>
      <c r="BNF33" s="672"/>
      <c r="BNG33" s="672"/>
      <c r="BNH33" s="672"/>
      <c r="BNI33" s="672"/>
      <c r="BNJ33" s="672"/>
      <c r="BNK33" s="672"/>
      <c r="BNL33" s="672"/>
      <c r="BNM33" s="672"/>
      <c r="BNN33" s="672"/>
      <c r="BNO33" s="672"/>
      <c r="BNP33" s="672"/>
      <c r="BNQ33" s="672"/>
      <c r="BNR33" s="672"/>
      <c r="BNS33" s="672"/>
      <c r="BNT33" s="672"/>
      <c r="BNU33" s="672"/>
      <c r="BNV33" s="672"/>
      <c r="BNW33" s="672"/>
      <c r="BNX33" s="672"/>
      <c r="BNY33" s="672"/>
      <c r="BNZ33" s="672"/>
      <c r="BOA33" s="672"/>
      <c r="BOB33" s="672"/>
      <c r="BOC33" s="672"/>
      <c r="BOD33" s="672"/>
      <c r="BOE33" s="672"/>
      <c r="BOF33" s="672"/>
      <c r="BOG33" s="672"/>
      <c r="BOH33" s="672"/>
      <c r="BOI33" s="672"/>
      <c r="BOJ33" s="672"/>
      <c r="BOK33" s="672"/>
      <c r="BOL33" s="672"/>
      <c r="BOM33" s="672"/>
      <c r="BON33" s="672"/>
      <c r="BOO33" s="672"/>
      <c r="BOP33" s="672"/>
      <c r="BOQ33" s="672"/>
      <c r="BOR33" s="672"/>
      <c r="BOS33" s="672"/>
      <c r="BOT33" s="672"/>
      <c r="BOU33" s="672"/>
      <c r="BOV33" s="672"/>
      <c r="BOW33" s="672"/>
      <c r="BOX33" s="672"/>
      <c r="BOY33" s="672"/>
      <c r="BOZ33" s="672"/>
      <c r="BPA33" s="672"/>
      <c r="BPB33" s="672"/>
      <c r="BPC33" s="672"/>
      <c r="BPD33" s="672"/>
      <c r="BPE33" s="672"/>
      <c r="BPF33" s="672"/>
      <c r="BPG33" s="672"/>
      <c r="BPH33" s="672"/>
      <c r="BPI33" s="672"/>
      <c r="BPJ33" s="672"/>
      <c r="BPK33" s="672"/>
      <c r="BPL33" s="672"/>
      <c r="BPM33" s="672"/>
      <c r="BPN33" s="672"/>
      <c r="BPO33" s="672"/>
      <c r="BPP33" s="672"/>
      <c r="BPQ33" s="672"/>
      <c r="BPR33" s="672"/>
      <c r="BPS33" s="672"/>
      <c r="BPT33" s="672"/>
      <c r="BPU33" s="672"/>
      <c r="BPV33" s="672"/>
      <c r="BPW33" s="672"/>
      <c r="BPX33" s="672"/>
      <c r="BPY33" s="672"/>
      <c r="BPZ33" s="672"/>
      <c r="BQA33" s="672"/>
      <c r="BQB33" s="672"/>
      <c r="BQC33" s="672"/>
      <c r="BQD33" s="672"/>
      <c r="BQE33" s="672"/>
      <c r="BQF33" s="672"/>
      <c r="BQG33" s="672"/>
      <c r="BQH33" s="672"/>
      <c r="BQI33" s="672"/>
      <c r="BQJ33" s="672"/>
      <c r="BQK33" s="672"/>
      <c r="BQL33" s="672"/>
      <c r="BQM33" s="672"/>
      <c r="BQN33" s="672"/>
      <c r="BQO33" s="672"/>
      <c r="BQP33" s="672"/>
      <c r="BQQ33" s="672"/>
      <c r="BQR33" s="672"/>
      <c r="BQS33" s="672"/>
      <c r="BQT33" s="672"/>
      <c r="BQU33" s="672"/>
      <c r="BQV33" s="672"/>
      <c r="BQW33" s="672"/>
      <c r="BQX33" s="672"/>
      <c r="BQY33" s="672"/>
      <c r="BQZ33" s="672"/>
      <c r="BRA33" s="672"/>
      <c r="BRB33" s="672"/>
      <c r="BRC33" s="672"/>
      <c r="BRD33" s="672"/>
      <c r="BRE33" s="672"/>
      <c r="BRF33" s="672"/>
      <c r="BRG33" s="672"/>
      <c r="BRH33" s="672"/>
      <c r="BRI33" s="672"/>
      <c r="BRJ33" s="672"/>
      <c r="BRK33" s="672"/>
      <c r="BRL33" s="672"/>
      <c r="BRM33" s="672"/>
      <c r="BRN33" s="672"/>
      <c r="BRO33" s="672"/>
      <c r="BRP33" s="672"/>
      <c r="BRQ33" s="672"/>
      <c r="BRR33" s="672"/>
      <c r="BRS33" s="672"/>
      <c r="BRT33" s="672"/>
      <c r="BRU33" s="672"/>
      <c r="BRV33" s="672"/>
      <c r="BRW33" s="672"/>
      <c r="BRX33" s="672"/>
      <c r="BRY33" s="672"/>
      <c r="BRZ33" s="672"/>
      <c r="BSA33" s="672"/>
      <c r="BSB33" s="672"/>
      <c r="BSC33" s="672"/>
      <c r="BSD33" s="672"/>
      <c r="BSE33" s="672"/>
      <c r="BSF33" s="672"/>
      <c r="BSG33" s="672"/>
      <c r="BSH33" s="672"/>
      <c r="BSI33" s="672"/>
      <c r="BSJ33" s="672"/>
      <c r="BSK33" s="672"/>
      <c r="BSL33" s="672"/>
      <c r="BSM33" s="672"/>
      <c r="BSN33" s="672"/>
      <c r="BSO33" s="672"/>
      <c r="BSP33" s="672"/>
      <c r="BSQ33" s="672"/>
      <c r="BSR33" s="672"/>
      <c r="BSS33" s="672"/>
      <c r="BST33" s="672"/>
      <c r="BSU33" s="672"/>
      <c r="BSV33" s="672"/>
      <c r="BSW33" s="672"/>
      <c r="BSX33" s="672"/>
      <c r="BSY33" s="672"/>
      <c r="BSZ33" s="672"/>
      <c r="BTA33" s="672"/>
      <c r="BTB33" s="672"/>
      <c r="BTC33" s="672"/>
      <c r="BTD33" s="672"/>
      <c r="BTE33" s="672"/>
      <c r="BTF33" s="672"/>
      <c r="BTG33" s="672"/>
      <c r="BTH33" s="672"/>
      <c r="BTI33" s="672"/>
      <c r="BTJ33" s="672"/>
      <c r="BTK33" s="672"/>
      <c r="BTL33" s="672"/>
      <c r="BTM33" s="672"/>
      <c r="BTN33" s="672"/>
      <c r="BTO33" s="672"/>
      <c r="BTP33" s="672"/>
      <c r="BTQ33" s="672"/>
      <c r="BTR33" s="672"/>
      <c r="BTS33" s="672"/>
      <c r="BTT33" s="672"/>
      <c r="BTU33" s="672"/>
      <c r="BTV33" s="672"/>
      <c r="BTW33" s="672"/>
      <c r="BTX33" s="672"/>
      <c r="BTY33" s="672"/>
      <c r="BTZ33" s="672"/>
      <c r="BUA33" s="672"/>
      <c r="BUB33" s="672"/>
      <c r="BUC33" s="672"/>
      <c r="BUD33" s="672"/>
      <c r="BUE33" s="672"/>
      <c r="BUF33" s="672"/>
      <c r="BUG33" s="672"/>
      <c r="BUH33" s="672"/>
      <c r="BUI33" s="672"/>
      <c r="BUJ33" s="672"/>
      <c r="BUK33" s="672"/>
      <c r="BUL33" s="672"/>
      <c r="BUM33" s="672"/>
      <c r="BUN33" s="672"/>
      <c r="BUO33" s="672"/>
      <c r="BUP33" s="672"/>
      <c r="BUQ33" s="672"/>
      <c r="BUR33" s="672"/>
      <c r="BUS33" s="672"/>
      <c r="BUT33" s="672"/>
      <c r="BUU33" s="672"/>
      <c r="BUV33" s="672"/>
      <c r="BUW33" s="672"/>
      <c r="BUX33" s="672"/>
      <c r="BUY33" s="672"/>
      <c r="BUZ33" s="672"/>
      <c r="BVA33" s="672"/>
      <c r="BVB33" s="672"/>
      <c r="BVC33" s="672"/>
      <c r="BVD33" s="672"/>
      <c r="BVE33" s="672"/>
      <c r="BVF33" s="672"/>
      <c r="BVG33" s="672"/>
      <c r="BVH33" s="672"/>
      <c r="BVI33" s="672"/>
      <c r="BVJ33" s="672"/>
      <c r="BVK33" s="672"/>
      <c r="BVL33" s="672"/>
      <c r="BVM33" s="672"/>
      <c r="BVN33" s="672"/>
      <c r="BVO33" s="672"/>
      <c r="BVP33" s="672"/>
      <c r="BVQ33" s="672"/>
      <c r="BVR33" s="672"/>
      <c r="BVS33" s="672"/>
      <c r="BVT33" s="672"/>
      <c r="BVU33" s="672"/>
      <c r="BVV33" s="672"/>
      <c r="BVW33" s="672"/>
      <c r="BVX33" s="672"/>
      <c r="BVY33" s="672"/>
      <c r="BVZ33" s="672"/>
      <c r="BWA33" s="672"/>
      <c r="BWB33" s="672"/>
      <c r="BWC33" s="672"/>
      <c r="BWD33" s="672"/>
      <c r="BWE33" s="672"/>
      <c r="BWF33" s="672"/>
      <c r="BWG33" s="672"/>
      <c r="BWH33" s="672"/>
      <c r="BWI33" s="672"/>
      <c r="BWJ33" s="672"/>
      <c r="BWK33" s="672"/>
      <c r="BWL33" s="672"/>
      <c r="BWM33" s="672"/>
      <c r="BWN33" s="672"/>
      <c r="BWO33" s="672"/>
      <c r="BWP33" s="672"/>
      <c r="BWQ33" s="672"/>
      <c r="BWR33" s="672"/>
      <c r="BWS33" s="672"/>
      <c r="BWT33" s="672"/>
      <c r="BWU33" s="672"/>
      <c r="BWV33" s="672"/>
      <c r="BWW33" s="672"/>
      <c r="BWX33" s="672"/>
      <c r="BWY33" s="672"/>
      <c r="BWZ33" s="672"/>
      <c r="BXA33" s="672"/>
      <c r="BXB33" s="672"/>
      <c r="BXC33" s="672"/>
      <c r="BXD33" s="672"/>
      <c r="BXE33" s="672"/>
      <c r="BXF33" s="672"/>
      <c r="BXG33" s="672"/>
      <c r="BXH33" s="672"/>
      <c r="BXI33" s="672"/>
      <c r="BXJ33" s="672"/>
      <c r="BXK33" s="672"/>
      <c r="BXL33" s="672"/>
      <c r="BXM33" s="672"/>
      <c r="BXN33" s="672"/>
      <c r="BXO33" s="672"/>
      <c r="BXP33" s="672"/>
      <c r="BXQ33" s="672"/>
      <c r="BXR33" s="672"/>
      <c r="BXS33" s="672"/>
      <c r="BXT33" s="672"/>
      <c r="BXU33" s="672"/>
      <c r="BXV33" s="672"/>
      <c r="BXW33" s="672"/>
      <c r="BXX33" s="672"/>
      <c r="BXY33" s="672"/>
      <c r="BXZ33" s="672"/>
      <c r="BYA33" s="672"/>
      <c r="BYB33" s="672"/>
      <c r="BYC33" s="672"/>
      <c r="BYD33" s="672"/>
      <c r="BYE33" s="672"/>
      <c r="BYF33" s="672"/>
      <c r="BYG33" s="672"/>
      <c r="BYH33" s="672"/>
      <c r="BYI33" s="672"/>
      <c r="BYJ33" s="672"/>
      <c r="BYK33" s="672"/>
      <c r="BYL33" s="672"/>
      <c r="BYM33" s="672"/>
      <c r="BYN33" s="672"/>
      <c r="BYO33" s="672"/>
      <c r="BYP33" s="672"/>
      <c r="BYQ33" s="672"/>
      <c r="BYR33" s="672"/>
      <c r="BYS33" s="672"/>
      <c r="BYT33" s="672"/>
      <c r="BYU33" s="672"/>
      <c r="BYV33" s="672"/>
      <c r="BYW33" s="672"/>
      <c r="BYX33" s="672"/>
      <c r="BYY33" s="672"/>
      <c r="BYZ33" s="672"/>
      <c r="BZA33" s="672"/>
      <c r="BZB33" s="672"/>
      <c r="BZC33" s="672"/>
      <c r="BZD33" s="672"/>
      <c r="BZE33" s="672"/>
      <c r="BZF33" s="672"/>
      <c r="BZG33" s="672"/>
      <c r="BZH33" s="672"/>
      <c r="BZI33" s="672"/>
      <c r="BZJ33" s="672"/>
      <c r="BZK33" s="672"/>
      <c r="BZL33" s="672"/>
      <c r="BZM33" s="672"/>
      <c r="BZN33" s="672"/>
      <c r="BZO33" s="672"/>
      <c r="BZP33" s="672"/>
      <c r="BZQ33" s="672"/>
      <c r="BZR33" s="672"/>
      <c r="BZS33" s="672"/>
      <c r="BZT33" s="672"/>
      <c r="BZU33" s="672"/>
      <c r="BZV33" s="672"/>
      <c r="BZW33" s="672"/>
      <c r="BZX33" s="672"/>
      <c r="BZY33" s="672"/>
      <c r="BZZ33" s="672"/>
      <c r="CAA33" s="672"/>
      <c r="CAB33" s="672"/>
      <c r="CAC33" s="672"/>
      <c r="CAD33" s="672"/>
      <c r="CAE33" s="672"/>
      <c r="CAF33" s="672"/>
      <c r="CAG33" s="672"/>
      <c r="CAH33" s="672"/>
      <c r="CAI33" s="672"/>
      <c r="CAJ33" s="672"/>
      <c r="CAK33" s="672"/>
      <c r="CAL33" s="672"/>
      <c r="CAM33" s="672"/>
      <c r="CAN33" s="672"/>
      <c r="CAO33" s="672"/>
      <c r="CAP33" s="672"/>
      <c r="CAQ33" s="672"/>
      <c r="CAR33" s="672"/>
      <c r="CAS33" s="672"/>
      <c r="CAT33" s="672"/>
      <c r="CAU33" s="672"/>
      <c r="CAV33" s="672"/>
      <c r="CAW33" s="672"/>
      <c r="CAX33" s="672"/>
      <c r="CAY33" s="672"/>
      <c r="CAZ33" s="672"/>
      <c r="CBA33" s="672"/>
      <c r="CBB33" s="672"/>
      <c r="CBC33" s="672"/>
      <c r="CBD33" s="672"/>
      <c r="CBE33" s="672"/>
      <c r="CBF33" s="672"/>
      <c r="CBG33" s="672"/>
      <c r="CBH33" s="672"/>
      <c r="CBI33" s="672"/>
      <c r="CBJ33" s="672"/>
      <c r="CBK33" s="672"/>
      <c r="CBL33" s="672"/>
      <c r="CBM33" s="672"/>
      <c r="CBN33" s="672"/>
      <c r="CBO33" s="672"/>
      <c r="CBP33" s="672"/>
      <c r="CBQ33" s="672"/>
      <c r="CBR33" s="672"/>
      <c r="CBS33" s="672"/>
      <c r="CBT33" s="672"/>
      <c r="CBU33" s="672"/>
      <c r="CBV33" s="672"/>
      <c r="CBW33" s="672"/>
      <c r="CBX33" s="672"/>
      <c r="CBY33" s="672"/>
      <c r="CBZ33" s="672"/>
      <c r="CCA33" s="672"/>
      <c r="CCB33" s="672"/>
      <c r="CCC33" s="672"/>
      <c r="CCD33" s="672"/>
      <c r="CCE33" s="672"/>
      <c r="CCF33" s="672"/>
      <c r="CCG33" s="672"/>
      <c r="CCH33" s="672"/>
      <c r="CCI33" s="672"/>
      <c r="CCJ33" s="672"/>
      <c r="CCK33" s="672"/>
      <c r="CCL33" s="672"/>
      <c r="CCM33" s="672"/>
      <c r="CCN33" s="672"/>
      <c r="CCO33" s="672"/>
      <c r="CCP33" s="672"/>
      <c r="CCQ33" s="672"/>
      <c r="CCR33" s="672"/>
      <c r="CCS33" s="672"/>
      <c r="CCT33" s="672"/>
      <c r="CCU33" s="672"/>
      <c r="CCV33" s="672"/>
      <c r="CCW33" s="672"/>
      <c r="CCX33" s="672"/>
      <c r="CCY33" s="672"/>
      <c r="CCZ33" s="672"/>
      <c r="CDA33" s="672"/>
      <c r="CDB33" s="672"/>
      <c r="CDC33" s="672"/>
      <c r="CDD33" s="672"/>
      <c r="CDE33" s="672"/>
      <c r="CDF33" s="672"/>
      <c r="CDG33" s="672"/>
      <c r="CDH33" s="672"/>
      <c r="CDI33" s="672"/>
      <c r="CDJ33" s="672"/>
      <c r="CDK33" s="672"/>
      <c r="CDL33" s="672"/>
      <c r="CDM33" s="672"/>
      <c r="CDN33" s="672"/>
      <c r="CDO33" s="672"/>
      <c r="CDP33" s="672"/>
      <c r="CDQ33" s="672"/>
      <c r="CDR33" s="672"/>
      <c r="CDS33" s="672"/>
      <c r="CDT33" s="672"/>
      <c r="CDU33" s="672"/>
      <c r="CDV33" s="672"/>
      <c r="CDW33" s="672"/>
      <c r="CDX33" s="672"/>
      <c r="CDY33" s="672"/>
      <c r="CDZ33" s="672"/>
      <c r="CEA33" s="672"/>
      <c r="CEB33" s="672"/>
      <c r="CEC33" s="672"/>
      <c r="CED33" s="672"/>
      <c r="CEE33" s="672"/>
      <c r="CEF33" s="672"/>
      <c r="CEG33" s="672"/>
      <c r="CEH33" s="672"/>
      <c r="CEI33" s="672"/>
      <c r="CEJ33" s="672"/>
      <c r="CEK33" s="672"/>
      <c r="CEL33" s="672"/>
      <c r="CEM33" s="672"/>
      <c r="CEN33" s="672"/>
      <c r="CEO33" s="672"/>
      <c r="CEP33" s="672"/>
      <c r="CEQ33" s="672"/>
      <c r="CER33" s="672"/>
      <c r="CES33" s="672"/>
      <c r="CET33" s="672"/>
      <c r="CEU33" s="672"/>
      <c r="CEV33" s="672"/>
      <c r="CEW33" s="672"/>
      <c r="CEX33" s="672"/>
      <c r="CEY33" s="672"/>
      <c r="CEZ33" s="672"/>
      <c r="CFA33" s="672"/>
      <c r="CFB33" s="672"/>
      <c r="CFC33" s="672"/>
      <c r="CFD33" s="672"/>
      <c r="CFE33" s="672"/>
      <c r="CFF33" s="672"/>
      <c r="CFG33" s="672"/>
      <c r="CFH33" s="672"/>
      <c r="CFI33" s="672"/>
      <c r="CFJ33" s="672"/>
      <c r="CFK33" s="672"/>
      <c r="CFL33" s="672"/>
      <c r="CFM33" s="672"/>
      <c r="CFN33" s="672"/>
      <c r="CFO33" s="672"/>
      <c r="CFP33" s="672"/>
      <c r="CFQ33" s="672"/>
      <c r="CFR33" s="672"/>
      <c r="CFS33" s="672"/>
      <c r="CFT33" s="672"/>
      <c r="CFU33" s="672"/>
      <c r="CFV33" s="672"/>
      <c r="CFW33" s="672"/>
      <c r="CFX33" s="672"/>
      <c r="CFY33" s="672"/>
      <c r="CFZ33" s="672"/>
      <c r="CGA33" s="672"/>
      <c r="CGB33" s="672"/>
      <c r="CGC33" s="672"/>
      <c r="CGD33" s="672"/>
      <c r="CGE33" s="672"/>
      <c r="CGF33" s="672"/>
      <c r="CGG33" s="672"/>
      <c r="CGH33" s="672"/>
      <c r="CGI33" s="672"/>
      <c r="CGJ33" s="672"/>
      <c r="CGK33" s="672"/>
      <c r="CGL33" s="672"/>
      <c r="CGM33" s="672"/>
      <c r="CGN33" s="672"/>
      <c r="CGO33" s="672"/>
      <c r="CGP33" s="672"/>
      <c r="CGQ33" s="672"/>
      <c r="CGR33" s="672"/>
      <c r="CGS33" s="672"/>
      <c r="CGT33" s="672"/>
      <c r="CGU33" s="672"/>
      <c r="CGV33" s="672"/>
      <c r="CGW33" s="672"/>
      <c r="CGX33" s="672"/>
      <c r="CGY33" s="672"/>
      <c r="CGZ33" s="672"/>
      <c r="CHA33" s="672"/>
      <c r="CHB33" s="672"/>
      <c r="CHC33" s="672"/>
      <c r="CHD33" s="672"/>
      <c r="CHE33" s="672"/>
      <c r="CHF33" s="672"/>
      <c r="CHG33" s="672"/>
      <c r="CHH33" s="672"/>
      <c r="CHI33" s="672"/>
      <c r="CHJ33" s="672"/>
      <c r="CHK33" s="672"/>
      <c r="CHL33" s="672"/>
      <c r="CHM33" s="672"/>
      <c r="CHN33" s="672"/>
      <c r="CHO33" s="672"/>
      <c r="CHP33" s="672"/>
      <c r="CHQ33" s="672"/>
      <c r="CHR33" s="672"/>
      <c r="CHS33" s="672"/>
      <c r="CHT33" s="672"/>
      <c r="CHU33" s="672"/>
      <c r="CHV33" s="672"/>
      <c r="CHW33" s="672"/>
      <c r="CHX33" s="672"/>
      <c r="CHY33" s="672"/>
      <c r="CHZ33" s="672"/>
      <c r="CIA33" s="672"/>
      <c r="CIB33" s="672"/>
      <c r="CIC33" s="672"/>
      <c r="CID33" s="672"/>
      <c r="CIE33" s="672"/>
      <c r="CIF33" s="672"/>
      <c r="CIG33" s="672"/>
      <c r="CIH33" s="672"/>
      <c r="CII33" s="672"/>
      <c r="CIJ33" s="672"/>
      <c r="CIK33" s="672"/>
      <c r="CIL33" s="672"/>
      <c r="CIM33" s="672"/>
      <c r="CIN33" s="672"/>
      <c r="CIO33" s="672"/>
      <c r="CIP33" s="672"/>
      <c r="CIQ33" s="672"/>
      <c r="CIR33" s="672"/>
      <c r="CIS33" s="672"/>
      <c r="CIT33" s="672"/>
      <c r="CIU33" s="672"/>
      <c r="CIV33" s="672"/>
      <c r="CIW33" s="672"/>
      <c r="CIX33" s="672"/>
      <c r="CIY33" s="672"/>
      <c r="CIZ33" s="672"/>
      <c r="CJA33" s="672"/>
      <c r="CJB33" s="672"/>
      <c r="CJC33" s="672"/>
      <c r="CJD33" s="672"/>
      <c r="CJE33" s="672"/>
      <c r="CJF33" s="672"/>
      <c r="CJG33" s="672"/>
      <c r="CJH33" s="672"/>
      <c r="CJI33" s="672"/>
      <c r="CJJ33" s="672"/>
      <c r="CJK33" s="672"/>
      <c r="CJL33" s="672"/>
      <c r="CJM33" s="672"/>
      <c r="CJN33" s="672"/>
      <c r="CJO33" s="672"/>
      <c r="CJP33" s="672"/>
      <c r="CJQ33" s="672"/>
      <c r="CJR33" s="672"/>
      <c r="CJS33" s="672"/>
      <c r="CJT33" s="672"/>
      <c r="CJU33" s="672"/>
      <c r="CJV33" s="672"/>
      <c r="CJW33" s="672"/>
      <c r="CJX33" s="672"/>
      <c r="CJY33" s="672"/>
      <c r="CJZ33" s="672"/>
      <c r="CKA33" s="672"/>
      <c r="CKB33" s="672"/>
      <c r="CKC33" s="672"/>
      <c r="CKD33" s="672"/>
      <c r="CKE33" s="672"/>
      <c r="CKF33" s="672"/>
      <c r="CKG33" s="672"/>
      <c r="CKH33" s="672"/>
      <c r="CKI33" s="672"/>
      <c r="CKJ33" s="672"/>
      <c r="CKK33" s="672"/>
      <c r="CKL33" s="672"/>
      <c r="CKM33" s="672"/>
      <c r="CKN33" s="672"/>
      <c r="CKO33" s="672"/>
      <c r="CKP33" s="672"/>
      <c r="CKQ33" s="672"/>
      <c r="CKR33" s="672"/>
      <c r="CKS33" s="672"/>
      <c r="CKT33" s="672"/>
      <c r="CKU33" s="672"/>
      <c r="CKV33" s="672"/>
      <c r="CKW33" s="672"/>
      <c r="CKX33" s="672"/>
      <c r="CKY33" s="672"/>
      <c r="CKZ33" s="672"/>
      <c r="CLA33" s="672"/>
      <c r="CLB33" s="672"/>
      <c r="CLC33" s="672"/>
      <c r="CLD33" s="672"/>
      <c r="CLE33" s="672"/>
      <c r="CLF33" s="672"/>
      <c r="CLG33" s="672"/>
      <c r="CLH33" s="672"/>
      <c r="CLI33" s="672"/>
      <c r="CLJ33" s="672"/>
      <c r="CLK33" s="672"/>
      <c r="CLL33" s="672"/>
      <c r="CLM33" s="672"/>
      <c r="CLN33" s="672"/>
      <c r="CLO33" s="672"/>
      <c r="CLP33" s="672"/>
      <c r="CLQ33" s="672"/>
      <c r="CLR33" s="672"/>
      <c r="CLS33" s="672"/>
      <c r="CLT33" s="672"/>
      <c r="CLU33" s="672"/>
      <c r="CLV33" s="672"/>
      <c r="CLW33" s="672"/>
      <c r="CLX33" s="672"/>
      <c r="CLY33" s="672"/>
      <c r="CLZ33" s="672"/>
      <c r="CMA33" s="672"/>
      <c r="CMB33" s="672"/>
      <c r="CMC33" s="672"/>
      <c r="CMD33" s="672"/>
      <c r="CME33" s="672"/>
      <c r="CMF33" s="672"/>
      <c r="CMG33" s="672"/>
      <c r="CMH33" s="672"/>
      <c r="CMI33" s="672"/>
      <c r="CMJ33" s="672"/>
      <c r="CMK33" s="672"/>
      <c r="CML33" s="672"/>
      <c r="CMM33" s="672"/>
      <c r="CMN33" s="672"/>
      <c r="CMO33" s="672"/>
      <c r="CMP33" s="672"/>
      <c r="CMQ33" s="672"/>
      <c r="CMR33" s="672"/>
      <c r="CMS33" s="672"/>
      <c r="CMT33" s="672"/>
      <c r="CMU33" s="672"/>
      <c r="CMV33" s="672"/>
      <c r="CMW33" s="672"/>
      <c r="CMX33" s="672"/>
      <c r="CMY33" s="672"/>
      <c r="CMZ33" s="672"/>
      <c r="CNA33" s="672"/>
      <c r="CNB33" s="672"/>
      <c r="CNC33" s="672"/>
      <c r="CND33" s="672"/>
      <c r="CNE33" s="672"/>
      <c r="CNF33" s="672"/>
      <c r="CNG33" s="672"/>
      <c r="CNH33" s="672"/>
      <c r="CNI33" s="672"/>
      <c r="CNJ33" s="672"/>
      <c r="CNK33" s="672"/>
      <c r="CNL33" s="672"/>
      <c r="CNM33" s="672"/>
      <c r="CNN33" s="672"/>
      <c r="CNO33" s="672"/>
      <c r="CNP33" s="672"/>
      <c r="CNQ33" s="672"/>
      <c r="CNR33" s="672"/>
      <c r="CNS33" s="672"/>
      <c r="CNT33" s="672"/>
      <c r="CNU33" s="672"/>
      <c r="CNV33" s="672"/>
      <c r="CNW33" s="672"/>
      <c r="CNX33" s="672"/>
      <c r="CNY33" s="672"/>
      <c r="CNZ33" s="672"/>
      <c r="COA33" s="672"/>
      <c r="COB33" s="672"/>
      <c r="COC33" s="672"/>
      <c r="COD33" s="672"/>
      <c r="COE33" s="672"/>
      <c r="COF33" s="672"/>
      <c r="COG33" s="672"/>
      <c r="COH33" s="672"/>
      <c r="COI33" s="672"/>
      <c r="COJ33" s="672"/>
      <c r="COK33" s="672"/>
      <c r="COL33" s="672"/>
      <c r="COM33" s="672"/>
      <c r="CON33" s="672"/>
      <c r="COO33" s="672"/>
      <c r="COP33" s="672"/>
      <c r="COQ33" s="672"/>
      <c r="COR33" s="672"/>
      <c r="COS33" s="672"/>
      <c r="COT33" s="672"/>
      <c r="COU33" s="672"/>
      <c r="COV33" s="672"/>
      <c r="COW33" s="672"/>
      <c r="COX33" s="672"/>
      <c r="COY33" s="672"/>
      <c r="COZ33" s="672"/>
      <c r="CPA33" s="672"/>
      <c r="CPB33" s="672"/>
      <c r="CPC33" s="672"/>
      <c r="CPD33" s="672"/>
      <c r="CPE33" s="672"/>
      <c r="CPF33" s="672"/>
      <c r="CPG33" s="672"/>
      <c r="CPH33" s="672"/>
      <c r="CPI33" s="672"/>
      <c r="CPJ33" s="672"/>
      <c r="CPK33" s="672"/>
      <c r="CPL33" s="672"/>
      <c r="CPM33" s="672"/>
      <c r="CPN33" s="672"/>
      <c r="CPO33" s="672"/>
      <c r="CPP33" s="672"/>
      <c r="CPQ33" s="672"/>
      <c r="CPR33" s="672"/>
      <c r="CPS33" s="672"/>
      <c r="CPT33" s="672"/>
      <c r="CPU33" s="672"/>
      <c r="CPV33" s="672"/>
      <c r="CPW33" s="672"/>
      <c r="CPX33" s="672"/>
      <c r="CPY33" s="672"/>
      <c r="CPZ33" s="672"/>
      <c r="CQA33" s="672"/>
      <c r="CQB33" s="672"/>
      <c r="CQC33" s="672"/>
      <c r="CQD33" s="672"/>
      <c r="CQE33" s="672"/>
      <c r="CQF33" s="672"/>
      <c r="CQG33" s="672"/>
      <c r="CQH33" s="672"/>
      <c r="CQI33" s="672"/>
      <c r="CQJ33" s="672"/>
      <c r="CQK33" s="672"/>
      <c r="CQL33" s="672"/>
      <c r="CQM33" s="672"/>
      <c r="CQN33" s="672"/>
      <c r="CQO33" s="672"/>
      <c r="CQP33" s="672"/>
      <c r="CQQ33" s="672"/>
      <c r="CQR33" s="672"/>
      <c r="CQS33" s="672"/>
      <c r="CQT33" s="672"/>
      <c r="CQU33" s="672"/>
      <c r="CQV33" s="672"/>
      <c r="CQW33" s="672"/>
      <c r="CQX33" s="672"/>
      <c r="CQY33" s="672"/>
      <c r="CQZ33" s="672"/>
      <c r="CRA33" s="672"/>
      <c r="CRB33" s="672"/>
      <c r="CRC33" s="672"/>
      <c r="CRD33" s="672"/>
      <c r="CRE33" s="672"/>
      <c r="CRF33" s="672"/>
      <c r="CRG33" s="672"/>
      <c r="CRH33" s="672"/>
      <c r="CRI33" s="672"/>
      <c r="CRJ33" s="672"/>
      <c r="CRK33" s="672"/>
      <c r="CRL33" s="672"/>
      <c r="CRM33" s="672"/>
      <c r="CRN33" s="672"/>
      <c r="CRO33" s="672"/>
      <c r="CRP33" s="672"/>
      <c r="CRQ33" s="672"/>
      <c r="CRR33" s="672"/>
      <c r="CRS33" s="672"/>
      <c r="CRT33" s="672"/>
      <c r="CRU33" s="672"/>
      <c r="CRV33" s="672"/>
      <c r="CRW33" s="672"/>
      <c r="CRX33" s="672"/>
      <c r="CRY33" s="672"/>
      <c r="CRZ33" s="672"/>
      <c r="CSA33" s="672"/>
      <c r="CSB33" s="672"/>
      <c r="CSC33" s="672"/>
      <c r="CSD33" s="672"/>
      <c r="CSE33" s="672"/>
      <c r="CSF33" s="672"/>
      <c r="CSG33" s="672"/>
      <c r="CSH33" s="672"/>
      <c r="CSI33" s="672"/>
      <c r="CSJ33" s="672"/>
      <c r="CSK33" s="672"/>
      <c r="CSL33" s="672"/>
      <c r="CSM33" s="672"/>
      <c r="CSN33" s="672"/>
      <c r="CSO33" s="672"/>
      <c r="CSP33" s="672"/>
      <c r="CSQ33" s="672"/>
      <c r="CSR33" s="672"/>
      <c r="CSS33" s="672"/>
      <c r="CST33" s="672"/>
      <c r="CSU33" s="672"/>
      <c r="CSV33" s="672"/>
      <c r="CSW33" s="672"/>
      <c r="CSX33" s="672"/>
      <c r="CSY33" s="672"/>
      <c r="CSZ33" s="672"/>
      <c r="CTA33" s="672"/>
      <c r="CTB33" s="672"/>
      <c r="CTC33" s="672"/>
      <c r="CTD33" s="672"/>
      <c r="CTE33" s="672"/>
      <c r="CTF33" s="672"/>
      <c r="CTG33" s="672"/>
      <c r="CTH33" s="672"/>
      <c r="CTI33" s="672"/>
      <c r="CTJ33" s="672"/>
      <c r="CTK33" s="672"/>
      <c r="CTL33" s="672"/>
      <c r="CTM33" s="672"/>
      <c r="CTN33" s="672"/>
      <c r="CTO33" s="672"/>
      <c r="CTP33" s="672"/>
      <c r="CTQ33" s="672"/>
      <c r="CTR33" s="672"/>
      <c r="CTS33" s="672"/>
      <c r="CTT33" s="672"/>
      <c r="CTU33" s="672"/>
      <c r="CTV33" s="672"/>
      <c r="CTW33" s="672"/>
      <c r="CTX33" s="672"/>
      <c r="CTY33" s="672"/>
      <c r="CTZ33" s="672"/>
      <c r="CUA33" s="672"/>
      <c r="CUB33" s="672"/>
      <c r="CUC33" s="672"/>
      <c r="CUD33" s="672"/>
      <c r="CUE33" s="672"/>
      <c r="CUF33" s="672"/>
      <c r="CUG33" s="672"/>
      <c r="CUH33" s="672"/>
      <c r="CUI33" s="672"/>
      <c r="CUJ33" s="672"/>
      <c r="CUK33" s="672"/>
      <c r="CUL33" s="672"/>
      <c r="CUM33" s="672"/>
      <c r="CUN33" s="672"/>
      <c r="CUO33" s="672"/>
      <c r="CUP33" s="672"/>
      <c r="CUQ33" s="672"/>
      <c r="CUR33" s="672"/>
      <c r="CUS33" s="672"/>
      <c r="CUT33" s="672"/>
      <c r="CUU33" s="672"/>
      <c r="CUV33" s="672"/>
      <c r="CUW33" s="672"/>
      <c r="CUX33" s="672"/>
      <c r="CUY33" s="672"/>
      <c r="CUZ33" s="672"/>
      <c r="CVA33" s="672"/>
      <c r="CVB33" s="672"/>
      <c r="CVC33" s="672"/>
      <c r="CVD33" s="672"/>
      <c r="CVE33" s="672"/>
      <c r="CVF33" s="672"/>
      <c r="CVG33" s="672"/>
      <c r="CVH33" s="672"/>
      <c r="CVI33" s="672"/>
      <c r="CVJ33" s="672"/>
      <c r="CVK33" s="672"/>
      <c r="CVL33" s="672"/>
      <c r="CVM33" s="672"/>
      <c r="CVN33" s="672"/>
      <c r="CVO33" s="672"/>
      <c r="CVP33" s="672"/>
      <c r="CVQ33" s="672"/>
      <c r="CVR33" s="672"/>
      <c r="CVS33" s="672"/>
      <c r="CVT33" s="672"/>
      <c r="CVU33" s="672"/>
      <c r="CVV33" s="672"/>
      <c r="CVW33" s="672"/>
      <c r="CVX33" s="672"/>
      <c r="CVY33" s="672"/>
      <c r="CVZ33" s="672"/>
      <c r="CWA33" s="672"/>
      <c r="CWB33" s="672"/>
      <c r="CWC33" s="672"/>
      <c r="CWD33" s="672"/>
      <c r="CWE33" s="672"/>
      <c r="CWF33" s="672"/>
      <c r="CWG33" s="672"/>
      <c r="CWH33" s="672"/>
      <c r="CWI33" s="672"/>
      <c r="CWJ33" s="672"/>
      <c r="CWK33" s="672"/>
      <c r="CWL33" s="672"/>
      <c r="CWM33" s="672"/>
      <c r="CWN33" s="672"/>
      <c r="CWO33" s="672"/>
      <c r="CWP33" s="672"/>
      <c r="CWQ33" s="672"/>
      <c r="CWR33" s="672"/>
      <c r="CWS33" s="672"/>
      <c r="CWT33" s="672"/>
      <c r="CWU33" s="672"/>
      <c r="CWV33" s="672"/>
      <c r="CWW33" s="672"/>
      <c r="CWX33" s="672"/>
      <c r="CWY33" s="672"/>
      <c r="CWZ33" s="672"/>
      <c r="CXA33" s="672"/>
      <c r="CXB33" s="672"/>
      <c r="CXC33" s="672"/>
      <c r="CXD33" s="672"/>
      <c r="CXE33" s="672"/>
      <c r="CXF33" s="672"/>
      <c r="CXG33" s="672"/>
      <c r="CXH33" s="672"/>
      <c r="CXI33" s="672"/>
      <c r="CXJ33" s="672"/>
      <c r="CXK33" s="672"/>
      <c r="CXL33" s="672"/>
      <c r="CXM33" s="672"/>
      <c r="CXN33" s="672"/>
      <c r="CXO33" s="672"/>
      <c r="CXP33" s="672"/>
      <c r="CXQ33" s="672"/>
      <c r="CXR33" s="672"/>
      <c r="CXS33" s="672"/>
      <c r="CXT33" s="672"/>
      <c r="CXU33" s="672"/>
      <c r="CXV33" s="672"/>
      <c r="CXW33" s="672"/>
      <c r="CXX33" s="672"/>
      <c r="CXY33" s="672"/>
      <c r="CXZ33" s="672"/>
      <c r="CYA33" s="672"/>
      <c r="CYB33" s="672"/>
      <c r="CYC33" s="672"/>
      <c r="CYD33" s="672"/>
      <c r="CYE33" s="672"/>
      <c r="CYF33" s="672"/>
      <c r="CYG33" s="672"/>
      <c r="CYH33" s="672"/>
      <c r="CYI33" s="672"/>
      <c r="CYJ33" s="672"/>
      <c r="CYK33" s="672"/>
      <c r="CYL33" s="672"/>
      <c r="CYM33" s="672"/>
      <c r="CYN33" s="672"/>
      <c r="CYO33" s="672"/>
      <c r="CYP33" s="672"/>
      <c r="CYQ33" s="672"/>
      <c r="CYR33" s="672"/>
      <c r="CYS33" s="672"/>
      <c r="CYT33" s="672"/>
      <c r="CYU33" s="672"/>
      <c r="CYV33" s="672"/>
      <c r="CYW33" s="672"/>
      <c r="CYX33" s="672"/>
      <c r="CYY33" s="672"/>
      <c r="CYZ33" s="672"/>
      <c r="CZA33" s="672"/>
      <c r="CZB33" s="672"/>
      <c r="CZC33" s="672"/>
      <c r="CZD33" s="672"/>
      <c r="CZE33" s="672"/>
      <c r="CZF33" s="672"/>
      <c r="CZG33" s="672"/>
      <c r="CZH33" s="672"/>
      <c r="CZI33" s="672"/>
      <c r="CZJ33" s="672"/>
      <c r="CZK33" s="672"/>
      <c r="CZL33" s="672"/>
      <c r="CZM33" s="672"/>
      <c r="CZN33" s="672"/>
      <c r="CZO33" s="672"/>
      <c r="CZP33" s="672"/>
      <c r="CZQ33" s="672"/>
      <c r="CZR33" s="672"/>
      <c r="CZS33" s="672"/>
      <c r="CZT33" s="672"/>
      <c r="CZU33" s="672"/>
      <c r="CZV33" s="672"/>
      <c r="CZW33" s="672"/>
      <c r="CZX33" s="672"/>
      <c r="CZY33" s="672"/>
      <c r="CZZ33" s="672"/>
      <c r="DAA33" s="672"/>
      <c r="DAB33" s="672"/>
      <c r="DAC33" s="672"/>
      <c r="DAD33" s="672"/>
      <c r="DAE33" s="672"/>
      <c r="DAF33" s="672"/>
      <c r="DAG33" s="672"/>
      <c r="DAH33" s="672"/>
      <c r="DAI33" s="672"/>
      <c r="DAJ33" s="672"/>
      <c r="DAK33" s="672"/>
      <c r="DAL33" s="672"/>
      <c r="DAM33" s="672"/>
      <c r="DAN33" s="672"/>
      <c r="DAO33" s="672"/>
      <c r="DAP33" s="672"/>
      <c r="DAQ33" s="672"/>
      <c r="DAR33" s="672"/>
      <c r="DAS33" s="672"/>
      <c r="DAT33" s="672"/>
      <c r="DAU33" s="672"/>
      <c r="DAV33" s="672"/>
      <c r="DAW33" s="672"/>
      <c r="DAX33" s="672"/>
      <c r="DAY33" s="672"/>
      <c r="DAZ33" s="672"/>
      <c r="DBA33" s="672"/>
      <c r="DBB33" s="672"/>
      <c r="DBC33" s="672"/>
      <c r="DBD33" s="672"/>
      <c r="DBE33" s="672"/>
      <c r="DBF33" s="672"/>
      <c r="DBG33" s="672"/>
      <c r="DBH33" s="672"/>
      <c r="DBI33" s="672"/>
      <c r="DBJ33" s="672"/>
      <c r="DBK33" s="672"/>
      <c r="DBL33" s="672"/>
      <c r="DBM33" s="672"/>
      <c r="DBN33" s="672"/>
      <c r="DBO33" s="672"/>
      <c r="DBP33" s="672"/>
      <c r="DBQ33" s="672"/>
      <c r="DBR33" s="672"/>
      <c r="DBS33" s="672"/>
      <c r="DBT33" s="672"/>
      <c r="DBU33" s="672"/>
      <c r="DBV33" s="672"/>
      <c r="DBW33" s="672"/>
      <c r="DBX33" s="672"/>
      <c r="DBY33" s="672"/>
      <c r="DBZ33" s="672"/>
      <c r="DCA33" s="672"/>
      <c r="DCB33" s="672"/>
      <c r="DCC33" s="672"/>
      <c r="DCD33" s="672"/>
      <c r="DCE33" s="672"/>
      <c r="DCF33" s="672"/>
      <c r="DCG33" s="672"/>
      <c r="DCH33" s="672"/>
      <c r="DCI33" s="672"/>
      <c r="DCJ33" s="672"/>
      <c r="DCK33" s="672"/>
      <c r="DCL33" s="672"/>
      <c r="DCM33" s="672"/>
      <c r="DCN33" s="672"/>
      <c r="DCO33" s="672"/>
      <c r="DCP33" s="672"/>
      <c r="DCQ33" s="672"/>
      <c r="DCR33" s="672"/>
      <c r="DCS33" s="672"/>
      <c r="DCT33" s="672"/>
      <c r="DCU33" s="672"/>
      <c r="DCV33" s="672"/>
      <c r="DCW33" s="672"/>
      <c r="DCX33" s="672"/>
      <c r="DCY33" s="672"/>
      <c r="DCZ33" s="672"/>
      <c r="DDA33" s="672"/>
      <c r="DDB33" s="672"/>
      <c r="DDC33" s="672"/>
      <c r="DDD33" s="672"/>
      <c r="DDE33" s="672"/>
      <c r="DDF33" s="672"/>
      <c r="DDG33" s="672"/>
      <c r="DDH33" s="672"/>
      <c r="DDI33" s="672"/>
      <c r="DDJ33" s="672"/>
      <c r="DDK33" s="672"/>
      <c r="DDL33" s="672"/>
      <c r="DDM33" s="672"/>
      <c r="DDN33" s="672"/>
      <c r="DDO33" s="672"/>
      <c r="DDP33" s="672"/>
      <c r="DDQ33" s="672"/>
      <c r="DDR33" s="672"/>
      <c r="DDS33" s="672"/>
      <c r="DDT33" s="672"/>
      <c r="DDU33" s="672"/>
      <c r="DDV33" s="672"/>
      <c r="DDW33" s="672"/>
      <c r="DDX33" s="672"/>
      <c r="DDY33" s="672"/>
      <c r="DDZ33" s="672"/>
      <c r="DEA33" s="672"/>
      <c r="DEB33" s="672"/>
      <c r="DEC33" s="672"/>
      <c r="DED33" s="672"/>
      <c r="DEE33" s="672"/>
      <c r="DEF33" s="672"/>
      <c r="DEG33" s="672"/>
      <c r="DEH33" s="672"/>
      <c r="DEI33" s="672"/>
      <c r="DEJ33" s="672"/>
      <c r="DEK33" s="672"/>
      <c r="DEL33" s="672"/>
      <c r="DEM33" s="672"/>
      <c r="DEN33" s="672"/>
      <c r="DEO33" s="672"/>
      <c r="DEP33" s="672"/>
      <c r="DEQ33" s="672"/>
      <c r="DER33" s="672"/>
      <c r="DES33" s="672"/>
      <c r="DET33" s="672"/>
      <c r="DEU33" s="672"/>
      <c r="DEV33" s="672"/>
      <c r="DEW33" s="672"/>
      <c r="DEX33" s="672"/>
      <c r="DEY33" s="672"/>
      <c r="DEZ33" s="672"/>
      <c r="DFA33" s="672"/>
      <c r="DFB33" s="672"/>
      <c r="DFC33" s="672"/>
      <c r="DFD33" s="672"/>
      <c r="DFE33" s="672"/>
      <c r="DFF33" s="672"/>
      <c r="DFG33" s="672"/>
      <c r="DFH33" s="672"/>
      <c r="DFI33" s="672"/>
      <c r="DFJ33" s="672"/>
      <c r="DFK33" s="672"/>
      <c r="DFL33" s="672"/>
      <c r="DFM33" s="672"/>
      <c r="DFN33" s="672"/>
      <c r="DFO33" s="672"/>
      <c r="DFP33" s="672"/>
      <c r="DFQ33" s="672"/>
      <c r="DFR33" s="672"/>
      <c r="DFS33" s="672"/>
      <c r="DFT33" s="672"/>
      <c r="DFU33" s="672"/>
      <c r="DFV33" s="672"/>
      <c r="DFW33" s="672"/>
      <c r="DFX33" s="672"/>
      <c r="DFY33" s="672"/>
      <c r="DFZ33" s="672"/>
      <c r="DGA33" s="672"/>
      <c r="DGB33" s="672"/>
      <c r="DGC33" s="672"/>
      <c r="DGD33" s="672"/>
      <c r="DGE33" s="672"/>
      <c r="DGF33" s="672"/>
      <c r="DGG33" s="672"/>
      <c r="DGH33" s="672"/>
      <c r="DGI33" s="672"/>
      <c r="DGJ33" s="672"/>
      <c r="DGK33" s="672"/>
      <c r="DGL33" s="672"/>
      <c r="DGM33" s="672"/>
      <c r="DGN33" s="672"/>
      <c r="DGO33" s="672"/>
      <c r="DGP33" s="672"/>
      <c r="DGQ33" s="672"/>
      <c r="DGR33" s="672"/>
      <c r="DGS33" s="672"/>
      <c r="DGT33" s="672"/>
      <c r="DGU33" s="672"/>
      <c r="DGV33" s="672"/>
      <c r="DGW33" s="672"/>
      <c r="DGX33" s="672"/>
      <c r="DGY33" s="672"/>
      <c r="DGZ33" s="672"/>
      <c r="DHA33" s="672"/>
      <c r="DHB33" s="672"/>
      <c r="DHC33" s="672"/>
      <c r="DHD33" s="672"/>
      <c r="DHE33" s="672"/>
      <c r="DHF33" s="672"/>
      <c r="DHG33" s="672"/>
      <c r="DHH33" s="672"/>
      <c r="DHI33" s="672"/>
      <c r="DHJ33" s="672"/>
      <c r="DHK33" s="672"/>
      <c r="DHL33" s="672"/>
      <c r="DHM33" s="672"/>
      <c r="DHN33" s="672"/>
      <c r="DHO33" s="672"/>
      <c r="DHP33" s="672"/>
      <c r="DHQ33" s="672"/>
      <c r="DHR33" s="672"/>
      <c r="DHS33" s="672"/>
      <c r="DHT33" s="672"/>
      <c r="DHU33" s="672"/>
      <c r="DHV33" s="672"/>
      <c r="DHW33" s="672"/>
      <c r="DHX33" s="672"/>
      <c r="DHY33" s="672"/>
      <c r="DHZ33" s="672"/>
      <c r="DIA33" s="672"/>
      <c r="DIB33" s="672"/>
      <c r="DIC33" s="672"/>
      <c r="DID33" s="672"/>
      <c r="DIE33" s="672"/>
      <c r="DIF33" s="672"/>
      <c r="DIG33" s="672"/>
      <c r="DIH33" s="672"/>
      <c r="DII33" s="672"/>
      <c r="DIJ33" s="672"/>
      <c r="DIK33" s="672"/>
      <c r="DIL33" s="672"/>
      <c r="DIM33" s="672"/>
      <c r="DIN33" s="672"/>
      <c r="DIO33" s="672"/>
      <c r="DIP33" s="672"/>
      <c r="DIQ33" s="672"/>
      <c r="DIR33" s="672"/>
      <c r="DIS33" s="672"/>
      <c r="DIT33" s="672"/>
      <c r="DIU33" s="672"/>
      <c r="DIV33" s="672"/>
      <c r="DIW33" s="672"/>
      <c r="DIX33" s="672"/>
      <c r="DIY33" s="672"/>
      <c r="DIZ33" s="672"/>
      <c r="DJA33" s="672"/>
      <c r="DJB33" s="672"/>
      <c r="DJC33" s="672"/>
      <c r="DJD33" s="672"/>
      <c r="DJE33" s="672"/>
      <c r="DJF33" s="672"/>
      <c r="DJG33" s="672"/>
      <c r="DJH33" s="672"/>
      <c r="DJI33" s="672"/>
      <c r="DJJ33" s="672"/>
      <c r="DJK33" s="672"/>
      <c r="DJL33" s="672"/>
      <c r="DJM33" s="672"/>
      <c r="DJN33" s="672"/>
      <c r="DJO33" s="672"/>
      <c r="DJP33" s="672"/>
      <c r="DJQ33" s="672"/>
      <c r="DJR33" s="672"/>
      <c r="DJS33" s="672"/>
      <c r="DJT33" s="672"/>
      <c r="DJU33" s="672"/>
      <c r="DJV33" s="672"/>
      <c r="DJW33" s="672"/>
      <c r="DJX33" s="672"/>
      <c r="DJY33" s="672"/>
      <c r="DJZ33" s="672"/>
      <c r="DKA33" s="672"/>
      <c r="DKB33" s="672"/>
      <c r="DKC33" s="672"/>
      <c r="DKD33" s="672"/>
      <c r="DKE33" s="672"/>
      <c r="DKF33" s="672"/>
      <c r="DKG33" s="672"/>
      <c r="DKH33" s="672"/>
      <c r="DKI33" s="672"/>
      <c r="DKJ33" s="672"/>
      <c r="DKK33" s="672"/>
      <c r="DKL33" s="672"/>
      <c r="DKM33" s="672"/>
      <c r="DKN33" s="672"/>
      <c r="DKO33" s="672"/>
      <c r="DKP33" s="672"/>
      <c r="DKQ33" s="672"/>
      <c r="DKR33" s="672"/>
      <c r="DKS33" s="672"/>
      <c r="DKT33" s="672"/>
      <c r="DKU33" s="672"/>
      <c r="DKV33" s="672"/>
      <c r="DKW33" s="672"/>
      <c r="DKX33" s="672"/>
      <c r="DKY33" s="672"/>
      <c r="DKZ33" s="672"/>
      <c r="DLA33" s="672"/>
      <c r="DLB33" s="672"/>
      <c r="DLC33" s="672"/>
      <c r="DLD33" s="672"/>
      <c r="DLE33" s="672"/>
      <c r="DLF33" s="672"/>
      <c r="DLG33" s="672"/>
      <c r="DLH33" s="672"/>
      <c r="DLI33" s="672"/>
      <c r="DLJ33" s="672"/>
      <c r="DLK33" s="672"/>
      <c r="DLL33" s="672"/>
      <c r="DLM33" s="672"/>
      <c r="DLN33" s="672"/>
      <c r="DLO33" s="672"/>
      <c r="DLP33" s="672"/>
      <c r="DLQ33" s="672"/>
      <c r="DLR33" s="672"/>
      <c r="DLS33" s="672"/>
      <c r="DLT33" s="672"/>
      <c r="DLU33" s="672"/>
      <c r="DLV33" s="672"/>
      <c r="DLW33" s="672"/>
      <c r="DLX33" s="672"/>
      <c r="DLY33" s="672"/>
      <c r="DLZ33" s="672"/>
      <c r="DMA33" s="672"/>
      <c r="DMB33" s="672"/>
      <c r="DMC33" s="672"/>
      <c r="DMD33" s="672"/>
      <c r="DME33" s="672"/>
      <c r="DMF33" s="672"/>
      <c r="DMG33" s="672"/>
      <c r="DMH33" s="672"/>
      <c r="DMI33" s="672"/>
      <c r="DMJ33" s="672"/>
      <c r="DMK33" s="672"/>
      <c r="DML33" s="672"/>
      <c r="DMM33" s="672"/>
      <c r="DMN33" s="672"/>
      <c r="DMO33" s="672"/>
      <c r="DMP33" s="672"/>
      <c r="DMQ33" s="672"/>
      <c r="DMR33" s="672"/>
      <c r="DMS33" s="672"/>
      <c r="DMT33" s="672"/>
      <c r="DMU33" s="672"/>
      <c r="DMV33" s="672"/>
      <c r="DMW33" s="672"/>
      <c r="DMX33" s="672"/>
      <c r="DMY33" s="672"/>
      <c r="DMZ33" s="672"/>
      <c r="DNA33" s="672"/>
      <c r="DNB33" s="672"/>
      <c r="DNC33" s="672"/>
      <c r="DND33" s="672"/>
      <c r="DNE33" s="672"/>
      <c r="DNF33" s="672"/>
      <c r="DNG33" s="672"/>
      <c r="DNH33" s="672"/>
      <c r="DNI33" s="672"/>
      <c r="DNJ33" s="672"/>
      <c r="DNK33" s="672"/>
      <c r="DNL33" s="672"/>
      <c r="DNM33" s="672"/>
      <c r="DNN33" s="672"/>
      <c r="DNO33" s="672"/>
      <c r="DNP33" s="672"/>
      <c r="DNQ33" s="672"/>
      <c r="DNR33" s="672"/>
      <c r="DNS33" s="672"/>
      <c r="DNT33" s="672"/>
      <c r="DNU33" s="672"/>
      <c r="DNV33" s="672"/>
      <c r="DNW33" s="672"/>
      <c r="DNX33" s="672"/>
      <c r="DNY33" s="672"/>
      <c r="DNZ33" s="672"/>
      <c r="DOA33" s="672"/>
      <c r="DOB33" s="672"/>
      <c r="DOC33" s="672"/>
      <c r="DOD33" s="672"/>
      <c r="DOE33" s="672"/>
      <c r="DOF33" s="672"/>
      <c r="DOG33" s="672"/>
      <c r="DOH33" s="672"/>
      <c r="DOI33" s="672"/>
      <c r="DOJ33" s="672"/>
      <c r="DOK33" s="672"/>
      <c r="DOL33" s="672"/>
      <c r="DOM33" s="672"/>
      <c r="DON33" s="672"/>
      <c r="DOO33" s="672"/>
      <c r="DOP33" s="672"/>
      <c r="DOQ33" s="672"/>
      <c r="DOR33" s="672"/>
      <c r="DOS33" s="672"/>
      <c r="DOT33" s="672"/>
      <c r="DOU33" s="672"/>
      <c r="DOV33" s="672"/>
      <c r="DOW33" s="672"/>
      <c r="DOX33" s="672"/>
      <c r="DOY33" s="672"/>
      <c r="DOZ33" s="672"/>
      <c r="DPA33" s="672"/>
      <c r="DPB33" s="672"/>
      <c r="DPC33" s="672"/>
      <c r="DPD33" s="672"/>
      <c r="DPE33" s="672"/>
      <c r="DPF33" s="672"/>
      <c r="DPG33" s="672"/>
      <c r="DPH33" s="672"/>
      <c r="DPI33" s="672"/>
      <c r="DPJ33" s="672"/>
      <c r="DPK33" s="672"/>
      <c r="DPL33" s="672"/>
      <c r="DPM33" s="672"/>
      <c r="DPN33" s="672"/>
      <c r="DPO33" s="672"/>
      <c r="DPP33" s="672"/>
      <c r="DPQ33" s="672"/>
      <c r="DPR33" s="672"/>
      <c r="DPS33" s="672"/>
      <c r="DPT33" s="672"/>
      <c r="DPU33" s="672"/>
      <c r="DPV33" s="672"/>
      <c r="DPW33" s="672"/>
      <c r="DPX33" s="672"/>
      <c r="DPY33" s="672"/>
      <c r="DPZ33" s="672"/>
      <c r="DQA33" s="672"/>
      <c r="DQB33" s="672"/>
      <c r="DQC33" s="672"/>
      <c r="DQD33" s="672"/>
      <c r="DQE33" s="672"/>
      <c r="DQF33" s="672"/>
      <c r="DQG33" s="672"/>
      <c r="DQH33" s="672"/>
      <c r="DQI33" s="672"/>
      <c r="DQJ33" s="672"/>
      <c r="DQK33" s="672"/>
      <c r="DQL33" s="672"/>
      <c r="DQM33" s="672"/>
      <c r="DQN33" s="672"/>
      <c r="DQO33" s="672"/>
      <c r="DQP33" s="672"/>
      <c r="DQQ33" s="672"/>
      <c r="DQR33" s="672"/>
      <c r="DQS33" s="672"/>
      <c r="DQT33" s="672"/>
      <c r="DQU33" s="672"/>
      <c r="DQV33" s="672"/>
      <c r="DQW33" s="672"/>
      <c r="DQX33" s="672"/>
      <c r="DQY33" s="672"/>
      <c r="DQZ33" s="672"/>
      <c r="DRA33" s="672"/>
      <c r="DRB33" s="672"/>
      <c r="DRC33" s="672"/>
      <c r="DRD33" s="672"/>
      <c r="DRE33" s="672"/>
      <c r="DRF33" s="672"/>
      <c r="DRG33" s="672"/>
      <c r="DRH33" s="672"/>
      <c r="DRI33" s="672"/>
      <c r="DRJ33" s="672"/>
      <c r="DRK33" s="672"/>
      <c r="DRL33" s="672"/>
      <c r="DRM33" s="672"/>
      <c r="DRN33" s="672"/>
      <c r="DRO33" s="672"/>
      <c r="DRP33" s="672"/>
      <c r="DRQ33" s="672"/>
      <c r="DRR33" s="672"/>
      <c r="DRS33" s="672"/>
      <c r="DRT33" s="672"/>
      <c r="DRU33" s="672"/>
      <c r="DRV33" s="672"/>
      <c r="DRW33" s="672"/>
      <c r="DRX33" s="672"/>
      <c r="DRY33" s="672"/>
      <c r="DRZ33" s="672"/>
      <c r="DSA33" s="672"/>
      <c r="DSB33" s="672"/>
      <c r="DSC33" s="672"/>
      <c r="DSD33" s="672"/>
      <c r="DSE33" s="672"/>
      <c r="DSF33" s="672"/>
      <c r="DSG33" s="672"/>
      <c r="DSH33" s="672"/>
      <c r="DSI33" s="672"/>
      <c r="DSJ33" s="672"/>
      <c r="DSK33" s="672"/>
      <c r="DSL33" s="672"/>
      <c r="DSM33" s="672"/>
      <c r="DSN33" s="672"/>
      <c r="DSO33" s="672"/>
      <c r="DSP33" s="672"/>
      <c r="DSQ33" s="672"/>
      <c r="DSR33" s="672"/>
      <c r="DSS33" s="672"/>
      <c r="DST33" s="672"/>
      <c r="DSU33" s="672"/>
      <c r="DSV33" s="672"/>
      <c r="DSW33" s="672"/>
      <c r="DSX33" s="672"/>
      <c r="DSY33" s="672"/>
      <c r="DSZ33" s="672"/>
      <c r="DTA33" s="672"/>
      <c r="DTB33" s="672"/>
      <c r="DTC33" s="672"/>
      <c r="DTD33" s="672"/>
      <c r="DTE33" s="672"/>
      <c r="DTF33" s="672"/>
      <c r="DTG33" s="672"/>
      <c r="DTH33" s="672"/>
      <c r="DTI33" s="672"/>
      <c r="DTJ33" s="672"/>
      <c r="DTK33" s="672"/>
      <c r="DTL33" s="672"/>
      <c r="DTM33" s="672"/>
      <c r="DTN33" s="672"/>
      <c r="DTO33" s="672"/>
      <c r="DTP33" s="672"/>
      <c r="DTQ33" s="672"/>
      <c r="DTR33" s="672"/>
      <c r="DTS33" s="672"/>
      <c r="DTT33" s="672"/>
      <c r="DTU33" s="672"/>
      <c r="DTV33" s="672"/>
      <c r="DTW33" s="672"/>
      <c r="DTX33" s="672"/>
      <c r="DTY33" s="672"/>
      <c r="DTZ33" s="672"/>
      <c r="DUA33" s="672"/>
      <c r="DUB33" s="672"/>
      <c r="DUC33" s="672"/>
      <c r="DUD33" s="672"/>
      <c r="DUE33" s="672"/>
      <c r="DUF33" s="672"/>
      <c r="DUG33" s="672"/>
      <c r="DUH33" s="672"/>
      <c r="DUI33" s="672"/>
      <c r="DUJ33" s="672"/>
      <c r="DUK33" s="672"/>
      <c r="DUL33" s="672"/>
      <c r="DUM33" s="672"/>
      <c r="DUN33" s="672"/>
      <c r="DUO33" s="672"/>
      <c r="DUP33" s="672"/>
      <c r="DUQ33" s="672"/>
      <c r="DUR33" s="672"/>
      <c r="DUS33" s="672"/>
      <c r="DUT33" s="672"/>
      <c r="DUU33" s="672"/>
      <c r="DUV33" s="672"/>
      <c r="DUW33" s="672"/>
      <c r="DUX33" s="672"/>
      <c r="DUY33" s="672"/>
      <c r="DUZ33" s="672"/>
      <c r="DVA33" s="672"/>
      <c r="DVB33" s="672"/>
      <c r="DVC33" s="672"/>
      <c r="DVD33" s="672"/>
      <c r="DVE33" s="672"/>
      <c r="DVF33" s="672"/>
      <c r="DVG33" s="672"/>
      <c r="DVH33" s="672"/>
      <c r="DVI33" s="672"/>
      <c r="DVJ33" s="672"/>
      <c r="DVK33" s="672"/>
      <c r="DVL33" s="672"/>
      <c r="DVM33" s="672"/>
      <c r="DVN33" s="672"/>
      <c r="DVO33" s="672"/>
      <c r="DVP33" s="672"/>
      <c r="DVQ33" s="672"/>
      <c r="DVR33" s="672"/>
      <c r="DVS33" s="672"/>
      <c r="DVT33" s="672"/>
      <c r="DVU33" s="672"/>
      <c r="DVV33" s="672"/>
      <c r="DVW33" s="672"/>
      <c r="DVX33" s="672"/>
      <c r="DVY33" s="672"/>
      <c r="DVZ33" s="672"/>
      <c r="DWA33" s="672"/>
      <c r="DWB33" s="672"/>
      <c r="DWC33" s="672"/>
      <c r="DWD33" s="672"/>
      <c r="DWE33" s="672"/>
      <c r="DWF33" s="672"/>
      <c r="DWG33" s="672"/>
      <c r="DWH33" s="672"/>
      <c r="DWI33" s="672"/>
      <c r="DWJ33" s="672"/>
      <c r="DWK33" s="672"/>
      <c r="DWL33" s="672"/>
      <c r="DWM33" s="672"/>
      <c r="DWN33" s="672"/>
      <c r="DWO33" s="672"/>
      <c r="DWP33" s="672"/>
      <c r="DWQ33" s="672"/>
      <c r="DWR33" s="672"/>
      <c r="DWS33" s="672"/>
      <c r="DWT33" s="672"/>
      <c r="DWU33" s="672"/>
      <c r="DWV33" s="672"/>
      <c r="DWW33" s="672"/>
      <c r="DWX33" s="672"/>
      <c r="DWY33" s="672"/>
      <c r="DWZ33" s="672"/>
      <c r="DXA33" s="672"/>
      <c r="DXB33" s="672"/>
      <c r="DXC33" s="672"/>
      <c r="DXD33" s="672"/>
      <c r="DXE33" s="672"/>
      <c r="DXF33" s="672"/>
      <c r="DXG33" s="672"/>
      <c r="DXH33" s="672"/>
      <c r="DXI33" s="672"/>
      <c r="DXJ33" s="672"/>
      <c r="DXK33" s="672"/>
      <c r="DXL33" s="672"/>
      <c r="DXM33" s="672"/>
      <c r="DXN33" s="672"/>
      <c r="DXO33" s="672"/>
      <c r="DXP33" s="672"/>
      <c r="DXQ33" s="672"/>
      <c r="DXR33" s="672"/>
      <c r="DXS33" s="672"/>
      <c r="DXT33" s="672"/>
      <c r="DXU33" s="672"/>
      <c r="DXV33" s="672"/>
      <c r="DXW33" s="672"/>
      <c r="DXX33" s="672"/>
      <c r="DXY33" s="672"/>
      <c r="DXZ33" s="672"/>
      <c r="DYA33" s="672"/>
      <c r="DYB33" s="672"/>
      <c r="DYC33" s="672"/>
      <c r="DYD33" s="672"/>
      <c r="DYE33" s="672"/>
      <c r="DYF33" s="672"/>
      <c r="DYG33" s="672"/>
      <c r="DYH33" s="672"/>
      <c r="DYI33" s="672"/>
      <c r="DYJ33" s="672"/>
      <c r="DYK33" s="672"/>
      <c r="DYL33" s="672"/>
      <c r="DYM33" s="672"/>
      <c r="DYN33" s="672"/>
      <c r="DYO33" s="672"/>
      <c r="DYP33" s="672"/>
      <c r="DYQ33" s="672"/>
      <c r="DYR33" s="672"/>
      <c r="DYS33" s="672"/>
      <c r="DYT33" s="672"/>
      <c r="DYU33" s="672"/>
      <c r="DYV33" s="672"/>
      <c r="DYW33" s="672"/>
      <c r="DYX33" s="672"/>
      <c r="DYY33" s="672"/>
      <c r="DYZ33" s="672"/>
      <c r="DZA33" s="672"/>
      <c r="DZB33" s="672"/>
      <c r="DZC33" s="672"/>
      <c r="DZD33" s="672"/>
      <c r="DZE33" s="672"/>
      <c r="DZF33" s="672"/>
      <c r="DZG33" s="672"/>
      <c r="DZH33" s="672"/>
      <c r="DZI33" s="672"/>
      <c r="DZJ33" s="672"/>
      <c r="DZK33" s="672"/>
      <c r="DZL33" s="672"/>
      <c r="DZM33" s="672"/>
      <c r="DZN33" s="672"/>
      <c r="DZO33" s="672"/>
      <c r="DZP33" s="672"/>
      <c r="DZQ33" s="672"/>
      <c r="DZR33" s="672"/>
      <c r="DZS33" s="672"/>
      <c r="DZT33" s="672"/>
      <c r="DZU33" s="672"/>
      <c r="DZV33" s="672"/>
      <c r="DZW33" s="672"/>
      <c r="DZX33" s="672"/>
      <c r="DZY33" s="672"/>
      <c r="DZZ33" s="672"/>
      <c r="EAA33" s="672"/>
      <c r="EAB33" s="672"/>
      <c r="EAC33" s="672"/>
      <c r="EAD33" s="672"/>
      <c r="EAE33" s="672"/>
      <c r="EAF33" s="672"/>
      <c r="EAG33" s="672"/>
      <c r="EAH33" s="672"/>
      <c r="EAI33" s="672"/>
      <c r="EAJ33" s="672"/>
      <c r="EAK33" s="672"/>
      <c r="EAL33" s="672"/>
      <c r="EAM33" s="672"/>
      <c r="EAN33" s="672"/>
      <c r="EAO33" s="672"/>
      <c r="EAP33" s="672"/>
      <c r="EAQ33" s="672"/>
      <c r="EAR33" s="672"/>
      <c r="EAS33" s="672"/>
      <c r="EAT33" s="672"/>
      <c r="EAU33" s="672"/>
      <c r="EAV33" s="672"/>
      <c r="EAW33" s="672"/>
      <c r="EAX33" s="672"/>
      <c r="EAY33" s="672"/>
      <c r="EAZ33" s="672"/>
      <c r="EBA33" s="672"/>
      <c r="EBB33" s="672"/>
      <c r="EBC33" s="672"/>
      <c r="EBD33" s="672"/>
      <c r="EBE33" s="672"/>
      <c r="EBF33" s="672"/>
      <c r="EBG33" s="672"/>
      <c r="EBH33" s="672"/>
      <c r="EBI33" s="672"/>
      <c r="EBJ33" s="672"/>
      <c r="EBK33" s="672"/>
      <c r="EBL33" s="672"/>
      <c r="EBM33" s="672"/>
      <c r="EBN33" s="672"/>
      <c r="EBO33" s="672"/>
      <c r="EBP33" s="672"/>
      <c r="EBQ33" s="672"/>
      <c r="EBR33" s="672"/>
      <c r="EBS33" s="672"/>
      <c r="EBT33" s="672"/>
      <c r="EBU33" s="672"/>
      <c r="EBV33" s="672"/>
      <c r="EBW33" s="672"/>
      <c r="EBX33" s="672"/>
      <c r="EBY33" s="672"/>
      <c r="EBZ33" s="672"/>
      <c r="ECA33" s="672"/>
      <c r="ECB33" s="672"/>
      <c r="ECC33" s="672"/>
      <c r="ECD33" s="672"/>
      <c r="ECE33" s="672"/>
      <c r="ECF33" s="672"/>
      <c r="ECG33" s="672"/>
      <c r="ECH33" s="672"/>
      <c r="ECI33" s="672"/>
      <c r="ECJ33" s="672"/>
      <c r="ECK33" s="672"/>
      <c r="ECL33" s="672"/>
      <c r="ECM33" s="672"/>
      <c r="ECN33" s="672"/>
      <c r="ECO33" s="672"/>
      <c r="ECP33" s="672"/>
      <c r="ECQ33" s="672"/>
      <c r="ECR33" s="672"/>
      <c r="ECS33" s="672"/>
      <c r="ECT33" s="672"/>
      <c r="ECU33" s="672"/>
      <c r="ECV33" s="672"/>
      <c r="ECW33" s="672"/>
      <c r="ECX33" s="672"/>
      <c r="ECY33" s="672"/>
      <c r="ECZ33" s="672"/>
      <c r="EDA33" s="672"/>
      <c r="EDB33" s="672"/>
      <c r="EDC33" s="672"/>
      <c r="EDD33" s="672"/>
      <c r="EDE33" s="672"/>
      <c r="EDF33" s="672"/>
      <c r="EDG33" s="672"/>
      <c r="EDH33" s="672"/>
      <c r="EDI33" s="672"/>
      <c r="EDJ33" s="672"/>
      <c r="EDK33" s="672"/>
      <c r="EDL33" s="672"/>
      <c r="EDM33" s="672"/>
      <c r="EDN33" s="672"/>
      <c r="EDO33" s="672"/>
      <c r="EDP33" s="672"/>
      <c r="EDQ33" s="672"/>
      <c r="EDR33" s="672"/>
      <c r="EDS33" s="672"/>
      <c r="EDT33" s="672"/>
      <c r="EDU33" s="672"/>
      <c r="EDV33" s="672"/>
      <c r="EDW33" s="672"/>
      <c r="EDX33" s="672"/>
      <c r="EDY33" s="672"/>
      <c r="EDZ33" s="672"/>
      <c r="EEA33" s="672"/>
      <c r="EEB33" s="672"/>
      <c r="EEC33" s="672"/>
      <c r="EED33" s="672"/>
      <c r="EEE33" s="672"/>
      <c r="EEF33" s="672"/>
      <c r="EEG33" s="672"/>
      <c r="EEH33" s="672"/>
      <c r="EEI33" s="672"/>
      <c r="EEJ33" s="672"/>
      <c r="EEK33" s="672"/>
      <c r="EEL33" s="672"/>
      <c r="EEM33" s="672"/>
      <c r="EEN33" s="672"/>
      <c r="EEO33" s="672"/>
      <c r="EEP33" s="672"/>
      <c r="EEQ33" s="672"/>
      <c r="EER33" s="672"/>
      <c r="EES33" s="672"/>
      <c r="EET33" s="672"/>
      <c r="EEU33" s="672"/>
      <c r="EEV33" s="672"/>
      <c r="EEW33" s="672"/>
      <c r="EEX33" s="672"/>
      <c r="EEY33" s="672"/>
      <c r="EEZ33" s="672"/>
      <c r="EFA33" s="672"/>
      <c r="EFB33" s="672"/>
      <c r="EFC33" s="672"/>
      <c r="EFD33" s="672"/>
      <c r="EFE33" s="672"/>
      <c r="EFF33" s="672"/>
      <c r="EFG33" s="672"/>
      <c r="EFH33" s="672"/>
      <c r="EFI33" s="672"/>
      <c r="EFJ33" s="672"/>
      <c r="EFK33" s="672"/>
      <c r="EFL33" s="672"/>
      <c r="EFM33" s="672"/>
      <c r="EFN33" s="672"/>
      <c r="EFO33" s="672"/>
      <c r="EFP33" s="672"/>
      <c r="EFQ33" s="672"/>
      <c r="EFR33" s="672"/>
      <c r="EFS33" s="672"/>
      <c r="EFT33" s="672"/>
      <c r="EFU33" s="672"/>
      <c r="EFV33" s="672"/>
      <c r="EFW33" s="672"/>
      <c r="EFX33" s="672"/>
      <c r="EFY33" s="672"/>
      <c r="EFZ33" s="672"/>
      <c r="EGA33" s="672"/>
      <c r="EGB33" s="672"/>
      <c r="EGC33" s="672"/>
      <c r="EGD33" s="672"/>
      <c r="EGE33" s="672"/>
      <c r="EGF33" s="672"/>
      <c r="EGG33" s="672"/>
      <c r="EGH33" s="672"/>
      <c r="EGI33" s="672"/>
      <c r="EGJ33" s="672"/>
      <c r="EGK33" s="672"/>
      <c r="EGL33" s="672"/>
      <c r="EGM33" s="672"/>
      <c r="EGN33" s="672"/>
      <c r="EGO33" s="672"/>
      <c r="EGP33" s="672"/>
      <c r="EGQ33" s="672"/>
      <c r="EGR33" s="672"/>
      <c r="EGS33" s="672"/>
      <c r="EGT33" s="672"/>
      <c r="EGU33" s="672"/>
      <c r="EGV33" s="672"/>
      <c r="EGW33" s="672"/>
      <c r="EGX33" s="672"/>
      <c r="EGY33" s="672"/>
      <c r="EGZ33" s="672"/>
      <c r="EHA33" s="672"/>
      <c r="EHB33" s="672"/>
      <c r="EHC33" s="672"/>
      <c r="EHD33" s="672"/>
      <c r="EHE33" s="672"/>
      <c r="EHF33" s="672"/>
      <c r="EHG33" s="672"/>
      <c r="EHH33" s="672"/>
      <c r="EHI33" s="672"/>
      <c r="EHJ33" s="672"/>
      <c r="EHK33" s="672"/>
      <c r="EHL33" s="672"/>
      <c r="EHM33" s="672"/>
      <c r="EHN33" s="672"/>
      <c r="EHO33" s="672"/>
      <c r="EHP33" s="672"/>
      <c r="EHQ33" s="672"/>
      <c r="EHR33" s="672"/>
      <c r="EHS33" s="672"/>
      <c r="EHT33" s="672"/>
      <c r="EHU33" s="672"/>
      <c r="EHV33" s="672"/>
      <c r="EHW33" s="672"/>
      <c r="EHX33" s="672"/>
      <c r="EHY33" s="672"/>
      <c r="EHZ33" s="672"/>
      <c r="EIA33" s="672"/>
      <c r="EIB33" s="672"/>
      <c r="EIC33" s="672"/>
      <c r="EID33" s="672"/>
      <c r="EIE33" s="672"/>
      <c r="EIF33" s="672"/>
      <c r="EIG33" s="672"/>
      <c r="EIH33" s="672"/>
      <c r="EII33" s="672"/>
      <c r="EIJ33" s="672"/>
      <c r="EIK33" s="672"/>
      <c r="EIL33" s="672"/>
      <c r="EIM33" s="672"/>
      <c r="EIN33" s="672"/>
      <c r="EIO33" s="672"/>
      <c r="EIP33" s="672"/>
      <c r="EIQ33" s="672"/>
      <c r="EIR33" s="672"/>
      <c r="EIS33" s="672"/>
      <c r="EIT33" s="672"/>
      <c r="EIU33" s="672"/>
      <c r="EIV33" s="672"/>
      <c r="EIW33" s="672"/>
      <c r="EIX33" s="672"/>
      <c r="EIY33" s="672"/>
      <c r="EIZ33" s="672"/>
      <c r="EJA33" s="672"/>
      <c r="EJB33" s="672"/>
      <c r="EJC33" s="672"/>
      <c r="EJD33" s="672"/>
      <c r="EJE33" s="672"/>
      <c r="EJF33" s="672"/>
      <c r="EJG33" s="672"/>
      <c r="EJH33" s="672"/>
      <c r="EJI33" s="672"/>
      <c r="EJJ33" s="672"/>
      <c r="EJK33" s="672"/>
      <c r="EJL33" s="672"/>
      <c r="EJM33" s="672"/>
      <c r="EJN33" s="672"/>
      <c r="EJO33" s="672"/>
      <c r="EJP33" s="672"/>
      <c r="EJQ33" s="672"/>
      <c r="EJR33" s="672"/>
      <c r="EJS33" s="672"/>
      <c r="EJT33" s="672"/>
      <c r="EJU33" s="672"/>
      <c r="EJV33" s="672"/>
      <c r="EJW33" s="672"/>
      <c r="EJX33" s="672"/>
      <c r="EJY33" s="672"/>
      <c r="EJZ33" s="672"/>
      <c r="EKA33" s="672"/>
      <c r="EKB33" s="672"/>
      <c r="EKC33" s="672"/>
      <c r="EKD33" s="672"/>
      <c r="EKE33" s="672"/>
      <c r="EKF33" s="672"/>
      <c r="EKG33" s="672"/>
      <c r="EKH33" s="672"/>
      <c r="EKI33" s="672"/>
      <c r="EKJ33" s="672"/>
      <c r="EKK33" s="672"/>
      <c r="EKL33" s="672"/>
      <c r="EKM33" s="672"/>
      <c r="EKN33" s="672"/>
      <c r="EKO33" s="672"/>
      <c r="EKP33" s="672"/>
      <c r="EKQ33" s="672"/>
      <c r="EKR33" s="672"/>
      <c r="EKS33" s="672"/>
      <c r="EKT33" s="672"/>
      <c r="EKU33" s="672"/>
      <c r="EKV33" s="672"/>
      <c r="EKW33" s="672"/>
      <c r="EKX33" s="672"/>
      <c r="EKY33" s="672"/>
      <c r="EKZ33" s="672"/>
      <c r="ELA33" s="672"/>
      <c r="ELB33" s="672"/>
      <c r="ELC33" s="672"/>
      <c r="ELD33" s="672"/>
      <c r="ELE33" s="672"/>
      <c r="ELF33" s="672"/>
      <c r="ELG33" s="672"/>
      <c r="ELH33" s="672"/>
      <c r="ELI33" s="672"/>
      <c r="ELJ33" s="672"/>
      <c r="ELK33" s="672"/>
      <c r="ELL33" s="672"/>
      <c r="ELM33" s="672"/>
      <c r="ELN33" s="672"/>
      <c r="ELO33" s="672"/>
      <c r="ELP33" s="672"/>
      <c r="ELQ33" s="672"/>
      <c r="ELR33" s="672"/>
      <c r="ELS33" s="672"/>
      <c r="ELT33" s="672"/>
      <c r="ELU33" s="672"/>
      <c r="ELV33" s="672"/>
      <c r="ELW33" s="672"/>
      <c r="ELX33" s="672"/>
      <c r="ELY33" s="672"/>
      <c r="ELZ33" s="672"/>
      <c r="EMA33" s="672"/>
      <c r="EMB33" s="672"/>
      <c r="EMC33" s="672"/>
      <c r="EMD33" s="672"/>
      <c r="EME33" s="672"/>
      <c r="EMF33" s="672"/>
      <c r="EMG33" s="672"/>
      <c r="EMH33" s="672"/>
      <c r="EMI33" s="672"/>
      <c r="EMJ33" s="672"/>
      <c r="EMK33" s="672"/>
      <c r="EML33" s="672"/>
      <c r="EMM33" s="672"/>
      <c r="EMN33" s="672"/>
      <c r="EMO33" s="672"/>
      <c r="EMP33" s="672"/>
      <c r="EMQ33" s="672"/>
      <c r="EMR33" s="672"/>
      <c r="EMS33" s="672"/>
      <c r="EMT33" s="672"/>
      <c r="EMU33" s="672"/>
      <c r="EMV33" s="672"/>
      <c r="EMW33" s="672"/>
      <c r="EMX33" s="672"/>
      <c r="EMY33" s="672"/>
      <c r="EMZ33" s="672"/>
      <c r="ENA33" s="672"/>
      <c r="ENB33" s="672"/>
      <c r="ENC33" s="672"/>
      <c r="END33" s="672"/>
      <c r="ENE33" s="672"/>
      <c r="ENF33" s="672"/>
      <c r="ENG33" s="672"/>
      <c r="ENH33" s="672"/>
      <c r="ENI33" s="672"/>
      <c r="ENJ33" s="672"/>
      <c r="ENK33" s="672"/>
      <c r="ENL33" s="672"/>
      <c r="ENM33" s="672"/>
      <c r="ENN33" s="672"/>
      <c r="ENO33" s="672"/>
      <c r="ENP33" s="672"/>
      <c r="ENQ33" s="672"/>
      <c r="ENR33" s="672"/>
      <c r="ENS33" s="672"/>
      <c r="ENT33" s="672"/>
      <c r="ENU33" s="672"/>
      <c r="ENV33" s="672"/>
      <c r="ENW33" s="672"/>
      <c r="ENX33" s="672"/>
      <c r="ENY33" s="672"/>
      <c r="ENZ33" s="672"/>
      <c r="EOA33" s="672"/>
      <c r="EOB33" s="672"/>
      <c r="EOC33" s="672"/>
      <c r="EOD33" s="672"/>
      <c r="EOE33" s="672"/>
      <c r="EOF33" s="672"/>
      <c r="EOG33" s="672"/>
      <c r="EOH33" s="672"/>
      <c r="EOI33" s="672"/>
      <c r="EOJ33" s="672"/>
      <c r="EOK33" s="672"/>
      <c r="EOL33" s="672"/>
      <c r="EOM33" s="672"/>
      <c r="EON33" s="672"/>
      <c r="EOO33" s="672"/>
      <c r="EOP33" s="672"/>
      <c r="EOQ33" s="672"/>
      <c r="EOR33" s="672"/>
      <c r="EOS33" s="672"/>
      <c r="EOT33" s="672"/>
      <c r="EOU33" s="672"/>
      <c r="EOV33" s="672"/>
      <c r="EOW33" s="672"/>
      <c r="EOX33" s="672"/>
      <c r="EOY33" s="672"/>
      <c r="EOZ33" s="672"/>
      <c r="EPA33" s="672"/>
      <c r="EPB33" s="672"/>
      <c r="EPC33" s="672"/>
      <c r="EPD33" s="672"/>
      <c r="EPE33" s="672"/>
      <c r="EPF33" s="672"/>
      <c r="EPG33" s="672"/>
      <c r="EPH33" s="672"/>
      <c r="EPI33" s="672"/>
      <c r="EPJ33" s="672"/>
      <c r="EPK33" s="672"/>
      <c r="EPL33" s="672"/>
      <c r="EPM33" s="672"/>
      <c r="EPN33" s="672"/>
      <c r="EPO33" s="672"/>
      <c r="EPP33" s="672"/>
      <c r="EPQ33" s="672"/>
      <c r="EPR33" s="672"/>
      <c r="EPS33" s="672"/>
      <c r="EPT33" s="672"/>
      <c r="EPU33" s="672"/>
      <c r="EPV33" s="672"/>
      <c r="EPW33" s="672"/>
      <c r="EPX33" s="672"/>
      <c r="EPY33" s="672"/>
      <c r="EPZ33" s="672"/>
      <c r="EQA33" s="672"/>
      <c r="EQB33" s="672"/>
      <c r="EQC33" s="672"/>
      <c r="EQD33" s="672"/>
      <c r="EQE33" s="672"/>
      <c r="EQF33" s="672"/>
      <c r="EQG33" s="672"/>
      <c r="EQH33" s="672"/>
      <c r="EQI33" s="672"/>
      <c r="EQJ33" s="672"/>
      <c r="EQK33" s="672"/>
      <c r="EQL33" s="672"/>
      <c r="EQM33" s="672"/>
      <c r="EQN33" s="672"/>
      <c r="EQO33" s="672"/>
      <c r="EQP33" s="672"/>
      <c r="EQQ33" s="672"/>
      <c r="EQR33" s="672"/>
      <c r="EQS33" s="672"/>
      <c r="EQT33" s="672"/>
      <c r="EQU33" s="672"/>
      <c r="EQV33" s="672"/>
      <c r="EQW33" s="672"/>
      <c r="EQX33" s="672"/>
      <c r="EQY33" s="672"/>
      <c r="EQZ33" s="672"/>
      <c r="ERA33" s="672"/>
      <c r="ERB33" s="672"/>
      <c r="ERC33" s="672"/>
      <c r="ERD33" s="672"/>
      <c r="ERE33" s="672"/>
      <c r="ERF33" s="672"/>
      <c r="ERG33" s="672"/>
      <c r="ERH33" s="672"/>
      <c r="ERI33" s="672"/>
      <c r="ERJ33" s="672"/>
      <c r="ERK33" s="672"/>
      <c r="ERL33" s="672"/>
      <c r="ERM33" s="672"/>
      <c r="ERN33" s="672"/>
      <c r="ERO33" s="672"/>
      <c r="ERP33" s="672"/>
      <c r="ERQ33" s="672"/>
      <c r="ERR33" s="672"/>
      <c r="ERS33" s="672"/>
      <c r="ERT33" s="672"/>
      <c r="ERU33" s="672"/>
      <c r="ERV33" s="672"/>
      <c r="ERW33" s="672"/>
      <c r="ERX33" s="672"/>
      <c r="ERY33" s="672"/>
      <c r="ERZ33" s="672"/>
      <c r="ESA33" s="672"/>
      <c r="ESB33" s="672"/>
      <c r="ESC33" s="672"/>
      <c r="ESD33" s="672"/>
      <c r="ESE33" s="672"/>
      <c r="ESF33" s="672"/>
      <c r="ESG33" s="672"/>
      <c r="ESH33" s="672"/>
      <c r="ESI33" s="672"/>
      <c r="ESJ33" s="672"/>
      <c r="ESK33" s="672"/>
      <c r="ESL33" s="672"/>
      <c r="ESM33" s="672"/>
      <c r="ESN33" s="672"/>
      <c r="ESO33" s="672"/>
      <c r="ESP33" s="672"/>
      <c r="ESQ33" s="672"/>
      <c r="ESR33" s="672"/>
      <c r="ESS33" s="672"/>
      <c r="EST33" s="672"/>
      <c r="ESU33" s="672"/>
      <c r="ESV33" s="672"/>
      <c r="ESW33" s="672"/>
      <c r="ESX33" s="672"/>
      <c r="ESY33" s="672"/>
      <c r="ESZ33" s="672"/>
      <c r="ETA33" s="672"/>
      <c r="ETB33" s="672"/>
      <c r="ETC33" s="672"/>
      <c r="ETD33" s="672"/>
      <c r="ETE33" s="672"/>
      <c r="ETF33" s="672"/>
      <c r="ETG33" s="672"/>
      <c r="ETH33" s="672"/>
      <c r="ETI33" s="672"/>
      <c r="ETJ33" s="672"/>
      <c r="ETK33" s="672"/>
      <c r="ETL33" s="672"/>
      <c r="ETM33" s="672"/>
      <c r="ETN33" s="672"/>
      <c r="ETO33" s="672"/>
      <c r="ETP33" s="672"/>
      <c r="ETQ33" s="672"/>
      <c r="ETR33" s="672"/>
      <c r="ETS33" s="672"/>
      <c r="ETT33" s="672"/>
      <c r="ETU33" s="672"/>
      <c r="ETV33" s="672"/>
      <c r="ETW33" s="672"/>
      <c r="ETX33" s="672"/>
      <c r="ETY33" s="672"/>
      <c r="ETZ33" s="672"/>
      <c r="EUA33" s="672"/>
      <c r="EUB33" s="672"/>
      <c r="EUC33" s="672"/>
      <c r="EUD33" s="672"/>
      <c r="EUE33" s="672"/>
      <c r="EUF33" s="672"/>
      <c r="EUG33" s="672"/>
      <c r="EUH33" s="672"/>
      <c r="EUI33" s="672"/>
      <c r="EUJ33" s="672"/>
      <c r="EUK33" s="672"/>
      <c r="EUL33" s="672"/>
      <c r="EUM33" s="672"/>
      <c r="EUN33" s="672"/>
      <c r="EUO33" s="672"/>
      <c r="EUP33" s="672"/>
      <c r="EUQ33" s="672"/>
      <c r="EUR33" s="672"/>
      <c r="EUS33" s="672"/>
      <c r="EUT33" s="672"/>
      <c r="EUU33" s="672"/>
      <c r="EUV33" s="672"/>
      <c r="EUW33" s="672"/>
      <c r="EUX33" s="672"/>
      <c r="EUY33" s="672"/>
      <c r="EUZ33" s="672"/>
      <c r="EVA33" s="672"/>
      <c r="EVB33" s="672"/>
      <c r="EVC33" s="672"/>
      <c r="EVD33" s="672"/>
      <c r="EVE33" s="672"/>
      <c r="EVF33" s="672"/>
      <c r="EVG33" s="672"/>
      <c r="EVH33" s="672"/>
      <c r="EVI33" s="672"/>
      <c r="EVJ33" s="672"/>
      <c r="EVK33" s="672"/>
      <c r="EVL33" s="672"/>
      <c r="EVM33" s="672"/>
      <c r="EVN33" s="672"/>
      <c r="EVO33" s="672"/>
      <c r="EVP33" s="672"/>
      <c r="EVQ33" s="672"/>
      <c r="EVR33" s="672"/>
      <c r="EVS33" s="672"/>
      <c r="EVT33" s="672"/>
      <c r="EVU33" s="672"/>
      <c r="EVV33" s="672"/>
      <c r="EVW33" s="672"/>
      <c r="EVX33" s="672"/>
      <c r="EVY33" s="672"/>
      <c r="EVZ33" s="672"/>
      <c r="EWA33" s="672"/>
      <c r="EWB33" s="672"/>
      <c r="EWC33" s="672"/>
      <c r="EWD33" s="672"/>
      <c r="EWE33" s="672"/>
      <c r="EWF33" s="672"/>
      <c r="EWG33" s="672"/>
      <c r="EWH33" s="672"/>
      <c r="EWI33" s="672"/>
      <c r="EWJ33" s="672"/>
      <c r="EWK33" s="672"/>
      <c r="EWL33" s="672"/>
      <c r="EWM33" s="672"/>
      <c r="EWN33" s="672"/>
      <c r="EWO33" s="672"/>
      <c r="EWP33" s="672"/>
      <c r="EWQ33" s="672"/>
      <c r="EWR33" s="672"/>
      <c r="EWS33" s="672"/>
      <c r="EWT33" s="672"/>
      <c r="EWU33" s="672"/>
      <c r="EWV33" s="672"/>
      <c r="EWW33" s="672"/>
      <c r="EWX33" s="672"/>
      <c r="EWY33" s="672"/>
      <c r="EWZ33" s="672"/>
      <c r="EXA33" s="672"/>
      <c r="EXB33" s="672"/>
      <c r="EXC33" s="672"/>
      <c r="EXD33" s="672"/>
      <c r="EXE33" s="672"/>
      <c r="EXF33" s="672"/>
      <c r="EXG33" s="672"/>
      <c r="EXH33" s="672"/>
      <c r="EXI33" s="672"/>
      <c r="EXJ33" s="672"/>
      <c r="EXK33" s="672"/>
      <c r="EXL33" s="672"/>
      <c r="EXM33" s="672"/>
      <c r="EXN33" s="672"/>
      <c r="EXO33" s="672"/>
      <c r="EXP33" s="672"/>
      <c r="EXQ33" s="672"/>
      <c r="EXR33" s="672"/>
      <c r="EXS33" s="672"/>
      <c r="EXT33" s="672"/>
      <c r="EXU33" s="672"/>
      <c r="EXV33" s="672"/>
      <c r="EXW33" s="672"/>
      <c r="EXX33" s="672"/>
      <c r="EXY33" s="672"/>
      <c r="EXZ33" s="672"/>
      <c r="EYA33" s="672"/>
      <c r="EYB33" s="672"/>
      <c r="EYC33" s="672"/>
      <c r="EYD33" s="672"/>
      <c r="EYE33" s="672"/>
      <c r="EYF33" s="672"/>
      <c r="EYG33" s="672"/>
      <c r="EYH33" s="672"/>
      <c r="EYI33" s="672"/>
      <c r="EYJ33" s="672"/>
      <c r="EYK33" s="672"/>
      <c r="EYL33" s="672"/>
      <c r="EYM33" s="672"/>
      <c r="EYN33" s="672"/>
      <c r="EYO33" s="672"/>
      <c r="EYP33" s="672"/>
      <c r="EYQ33" s="672"/>
      <c r="EYR33" s="672"/>
      <c r="EYS33" s="672"/>
      <c r="EYT33" s="672"/>
      <c r="EYU33" s="672"/>
      <c r="EYV33" s="672"/>
      <c r="EYW33" s="672"/>
      <c r="EYX33" s="672"/>
      <c r="EYY33" s="672"/>
      <c r="EYZ33" s="672"/>
      <c r="EZA33" s="672"/>
      <c r="EZB33" s="672"/>
      <c r="EZC33" s="672"/>
      <c r="EZD33" s="672"/>
      <c r="EZE33" s="672"/>
      <c r="EZF33" s="672"/>
      <c r="EZG33" s="672"/>
      <c r="EZH33" s="672"/>
      <c r="EZI33" s="672"/>
      <c r="EZJ33" s="672"/>
      <c r="EZK33" s="672"/>
      <c r="EZL33" s="672"/>
      <c r="EZM33" s="672"/>
      <c r="EZN33" s="672"/>
      <c r="EZO33" s="672"/>
      <c r="EZP33" s="672"/>
      <c r="EZQ33" s="672"/>
      <c r="EZR33" s="672"/>
      <c r="EZS33" s="672"/>
      <c r="EZT33" s="672"/>
      <c r="EZU33" s="672"/>
      <c r="EZV33" s="672"/>
      <c r="EZW33" s="672"/>
      <c r="EZX33" s="672"/>
      <c r="EZY33" s="672"/>
      <c r="EZZ33" s="672"/>
      <c r="FAA33" s="672"/>
      <c r="FAB33" s="672"/>
      <c r="FAC33" s="672"/>
      <c r="FAD33" s="672"/>
      <c r="FAE33" s="672"/>
      <c r="FAF33" s="672"/>
      <c r="FAG33" s="672"/>
      <c r="FAH33" s="672"/>
      <c r="FAI33" s="672"/>
      <c r="FAJ33" s="672"/>
      <c r="FAK33" s="672"/>
      <c r="FAL33" s="672"/>
      <c r="FAM33" s="672"/>
      <c r="FAN33" s="672"/>
      <c r="FAO33" s="672"/>
      <c r="FAP33" s="672"/>
      <c r="FAQ33" s="672"/>
      <c r="FAR33" s="672"/>
      <c r="FAS33" s="672"/>
      <c r="FAT33" s="672"/>
      <c r="FAU33" s="672"/>
      <c r="FAV33" s="672"/>
      <c r="FAW33" s="672"/>
      <c r="FAX33" s="672"/>
      <c r="FAY33" s="672"/>
      <c r="FAZ33" s="672"/>
      <c r="FBA33" s="672"/>
      <c r="FBB33" s="672"/>
      <c r="FBC33" s="672"/>
      <c r="FBD33" s="672"/>
      <c r="FBE33" s="672"/>
      <c r="FBF33" s="672"/>
      <c r="FBG33" s="672"/>
      <c r="FBH33" s="672"/>
      <c r="FBI33" s="672"/>
      <c r="FBJ33" s="672"/>
      <c r="FBK33" s="672"/>
      <c r="FBL33" s="672"/>
      <c r="FBM33" s="672"/>
      <c r="FBN33" s="672"/>
      <c r="FBO33" s="672"/>
      <c r="FBP33" s="672"/>
      <c r="FBQ33" s="672"/>
      <c r="FBR33" s="672"/>
      <c r="FBS33" s="672"/>
      <c r="FBT33" s="672"/>
      <c r="FBU33" s="672"/>
      <c r="FBV33" s="672"/>
      <c r="FBW33" s="672"/>
      <c r="FBX33" s="672"/>
      <c r="FBY33" s="672"/>
      <c r="FBZ33" s="672"/>
      <c r="FCA33" s="672"/>
      <c r="FCB33" s="672"/>
      <c r="FCC33" s="672"/>
      <c r="FCD33" s="672"/>
      <c r="FCE33" s="672"/>
      <c r="FCF33" s="672"/>
      <c r="FCG33" s="672"/>
      <c r="FCH33" s="672"/>
      <c r="FCI33" s="672"/>
      <c r="FCJ33" s="672"/>
      <c r="FCK33" s="672"/>
      <c r="FCL33" s="672"/>
      <c r="FCM33" s="672"/>
      <c r="FCN33" s="672"/>
      <c r="FCO33" s="672"/>
      <c r="FCP33" s="672"/>
      <c r="FCQ33" s="672"/>
      <c r="FCR33" s="672"/>
      <c r="FCS33" s="672"/>
      <c r="FCT33" s="672"/>
      <c r="FCU33" s="672"/>
      <c r="FCV33" s="672"/>
      <c r="FCW33" s="672"/>
      <c r="FCX33" s="672"/>
      <c r="FCY33" s="672"/>
      <c r="FCZ33" s="672"/>
      <c r="FDA33" s="672"/>
      <c r="FDB33" s="672"/>
      <c r="FDC33" s="672"/>
      <c r="FDD33" s="672"/>
      <c r="FDE33" s="672"/>
      <c r="FDF33" s="672"/>
      <c r="FDG33" s="672"/>
      <c r="FDH33" s="672"/>
      <c r="FDI33" s="672"/>
      <c r="FDJ33" s="672"/>
      <c r="FDK33" s="672"/>
      <c r="FDL33" s="672"/>
      <c r="FDM33" s="672"/>
      <c r="FDN33" s="672"/>
      <c r="FDO33" s="672"/>
      <c r="FDP33" s="672"/>
      <c r="FDQ33" s="672"/>
      <c r="FDR33" s="672"/>
      <c r="FDS33" s="672"/>
      <c r="FDT33" s="672"/>
      <c r="FDU33" s="672"/>
      <c r="FDV33" s="672"/>
      <c r="FDW33" s="672"/>
      <c r="FDX33" s="672"/>
      <c r="FDY33" s="672"/>
      <c r="FDZ33" s="672"/>
      <c r="FEA33" s="672"/>
      <c r="FEB33" s="672"/>
      <c r="FEC33" s="672"/>
      <c r="FED33" s="672"/>
      <c r="FEE33" s="672"/>
      <c r="FEF33" s="672"/>
      <c r="FEG33" s="672"/>
      <c r="FEH33" s="672"/>
      <c r="FEI33" s="672"/>
      <c r="FEJ33" s="672"/>
      <c r="FEK33" s="672"/>
      <c r="FEL33" s="672"/>
      <c r="FEM33" s="672"/>
      <c r="FEN33" s="672"/>
      <c r="FEO33" s="672"/>
      <c r="FEP33" s="672"/>
      <c r="FEQ33" s="672"/>
      <c r="FER33" s="672"/>
      <c r="FES33" s="672"/>
      <c r="FET33" s="672"/>
      <c r="FEU33" s="672"/>
      <c r="FEV33" s="672"/>
      <c r="FEW33" s="672"/>
      <c r="FEX33" s="672"/>
      <c r="FEY33" s="672"/>
      <c r="FEZ33" s="672"/>
      <c r="FFA33" s="672"/>
      <c r="FFB33" s="672"/>
      <c r="FFC33" s="672"/>
      <c r="FFD33" s="672"/>
      <c r="FFE33" s="672"/>
      <c r="FFF33" s="672"/>
      <c r="FFG33" s="672"/>
      <c r="FFH33" s="672"/>
      <c r="FFI33" s="672"/>
      <c r="FFJ33" s="672"/>
      <c r="FFK33" s="672"/>
      <c r="FFL33" s="672"/>
      <c r="FFM33" s="672"/>
      <c r="FFN33" s="672"/>
      <c r="FFO33" s="672"/>
      <c r="FFP33" s="672"/>
      <c r="FFQ33" s="672"/>
      <c r="FFR33" s="672"/>
      <c r="FFS33" s="672"/>
      <c r="FFT33" s="672"/>
      <c r="FFU33" s="672"/>
      <c r="FFV33" s="672"/>
      <c r="FFW33" s="672"/>
      <c r="FFX33" s="672"/>
      <c r="FFY33" s="672"/>
      <c r="FFZ33" s="672"/>
      <c r="FGA33" s="672"/>
      <c r="FGB33" s="672"/>
      <c r="FGC33" s="672"/>
      <c r="FGD33" s="672"/>
      <c r="FGE33" s="672"/>
      <c r="FGF33" s="672"/>
      <c r="FGG33" s="672"/>
      <c r="FGH33" s="672"/>
      <c r="FGI33" s="672"/>
      <c r="FGJ33" s="672"/>
      <c r="FGK33" s="672"/>
      <c r="FGL33" s="672"/>
      <c r="FGM33" s="672"/>
      <c r="FGN33" s="672"/>
      <c r="FGO33" s="672"/>
      <c r="FGP33" s="672"/>
      <c r="FGQ33" s="672"/>
      <c r="FGR33" s="672"/>
      <c r="FGS33" s="672"/>
      <c r="FGT33" s="672"/>
      <c r="FGU33" s="672"/>
      <c r="FGV33" s="672"/>
      <c r="FGW33" s="672"/>
      <c r="FGX33" s="672"/>
      <c r="FGY33" s="672"/>
      <c r="FGZ33" s="672"/>
      <c r="FHA33" s="672"/>
      <c r="FHB33" s="672"/>
      <c r="FHC33" s="672"/>
      <c r="FHD33" s="672"/>
      <c r="FHE33" s="672"/>
      <c r="FHF33" s="672"/>
      <c r="FHG33" s="672"/>
      <c r="FHH33" s="672"/>
      <c r="FHI33" s="672"/>
      <c r="FHJ33" s="672"/>
      <c r="FHK33" s="672"/>
      <c r="FHL33" s="672"/>
      <c r="FHM33" s="672"/>
      <c r="FHN33" s="672"/>
      <c r="FHO33" s="672"/>
      <c r="FHP33" s="672"/>
      <c r="FHQ33" s="672"/>
      <c r="FHR33" s="672"/>
      <c r="FHS33" s="672"/>
      <c r="FHT33" s="672"/>
      <c r="FHU33" s="672"/>
      <c r="FHV33" s="672"/>
      <c r="FHW33" s="672"/>
      <c r="FHX33" s="672"/>
      <c r="FHY33" s="672"/>
      <c r="FHZ33" s="672"/>
      <c r="FIA33" s="672"/>
      <c r="FIB33" s="672"/>
      <c r="FIC33" s="672"/>
      <c r="FID33" s="672"/>
      <c r="FIE33" s="672"/>
      <c r="FIF33" s="672"/>
      <c r="FIG33" s="672"/>
      <c r="FIH33" s="672"/>
      <c r="FII33" s="672"/>
      <c r="FIJ33" s="672"/>
      <c r="FIK33" s="672"/>
      <c r="FIL33" s="672"/>
      <c r="FIM33" s="672"/>
      <c r="FIN33" s="672"/>
      <c r="FIO33" s="672"/>
      <c r="FIP33" s="672"/>
      <c r="FIQ33" s="672"/>
      <c r="FIR33" s="672"/>
      <c r="FIS33" s="672"/>
      <c r="FIT33" s="672"/>
      <c r="FIU33" s="672"/>
      <c r="FIV33" s="672"/>
      <c r="FIW33" s="672"/>
      <c r="FIX33" s="672"/>
      <c r="FIY33" s="672"/>
      <c r="FIZ33" s="672"/>
      <c r="FJA33" s="672"/>
      <c r="FJB33" s="672"/>
      <c r="FJC33" s="672"/>
      <c r="FJD33" s="672"/>
      <c r="FJE33" s="672"/>
      <c r="FJF33" s="672"/>
      <c r="FJG33" s="672"/>
      <c r="FJH33" s="672"/>
      <c r="FJI33" s="672"/>
      <c r="FJJ33" s="672"/>
      <c r="FJK33" s="672"/>
      <c r="FJL33" s="672"/>
      <c r="FJM33" s="672"/>
      <c r="FJN33" s="672"/>
      <c r="FJO33" s="672"/>
      <c r="FJP33" s="672"/>
      <c r="FJQ33" s="672"/>
      <c r="FJR33" s="672"/>
      <c r="FJS33" s="672"/>
      <c r="FJT33" s="672"/>
      <c r="FJU33" s="672"/>
      <c r="FJV33" s="672"/>
      <c r="FJW33" s="672"/>
      <c r="FJX33" s="672"/>
      <c r="FJY33" s="672"/>
      <c r="FJZ33" s="672"/>
      <c r="FKA33" s="672"/>
      <c r="FKB33" s="672"/>
      <c r="FKC33" s="672"/>
      <c r="FKD33" s="672"/>
      <c r="FKE33" s="672"/>
      <c r="FKF33" s="672"/>
      <c r="FKG33" s="672"/>
      <c r="FKH33" s="672"/>
      <c r="FKI33" s="672"/>
      <c r="FKJ33" s="672"/>
      <c r="FKK33" s="672"/>
      <c r="FKL33" s="672"/>
      <c r="FKM33" s="672"/>
      <c r="FKN33" s="672"/>
      <c r="FKO33" s="672"/>
      <c r="FKP33" s="672"/>
      <c r="FKQ33" s="672"/>
      <c r="FKR33" s="672"/>
      <c r="FKS33" s="672"/>
      <c r="FKT33" s="672"/>
      <c r="FKU33" s="672"/>
      <c r="FKV33" s="672"/>
      <c r="FKW33" s="672"/>
      <c r="FKX33" s="672"/>
      <c r="FKY33" s="672"/>
      <c r="FKZ33" s="672"/>
      <c r="FLA33" s="672"/>
      <c r="FLB33" s="672"/>
      <c r="FLC33" s="672"/>
      <c r="FLD33" s="672"/>
      <c r="FLE33" s="672"/>
      <c r="FLF33" s="672"/>
      <c r="FLG33" s="672"/>
      <c r="FLH33" s="672"/>
      <c r="FLI33" s="672"/>
      <c r="FLJ33" s="672"/>
      <c r="FLK33" s="672"/>
      <c r="FLL33" s="672"/>
      <c r="FLM33" s="672"/>
      <c r="FLN33" s="672"/>
      <c r="FLO33" s="672"/>
      <c r="FLP33" s="672"/>
      <c r="FLQ33" s="672"/>
      <c r="FLR33" s="672"/>
      <c r="FLS33" s="672"/>
      <c r="FLT33" s="672"/>
      <c r="FLU33" s="672"/>
      <c r="FLV33" s="672"/>
      <c r="FLW33" s="672"/>
      <c r="FLX33" s="672"/>
      <c r="FLY33" s="672"/>
      <c r="FLZ33" s="672"/>
      <c r="FMA33" s="672"/>
      <c r="FMB33" s="672"/>
      <c r="FMC33" s="672"/>
      <c r="FMD33" s="672"/>
      <c r="FME33" s="672"/>
      <c r="FMF33" s="672"/>
      <c r="FMG33" s="672"/>
      <c r="FMH33" s="672"/>
      <c r="FMI33" s="672"/>
      <c r="FMJ33" s="672"/>
      <c r="FMK33" s="672"/>
      <c r="FML33" s="672"/>
      <c r="FMM33" s="672"/>
      <c r="FMN33" s="672"/>
      <c r="FMO33" s="672"/>
      <c r="FMP33" s="672"/>
      <c r="FMQ33" s="672"/>
      <c r="FMR33" s="672"/>
      <c r="FMS33" s="672"/>
      <c r="FMT33" s="672"/>
      <c r="FMU33" s="672"/>
      <c r="FMV33" s="672"/>
      <c r="FMW33" s="672"/>
      <c r="FMX33" s="672"/>
      <c r="FMY33" s="672"/>
      <c r="FMZ33" s="672"/>
      <c r="FNA33" s="672"/>
      <c r="FNB33" s="672"/>
      <c r="FNC33" s="672"/>
      <c r="FND33" s="672"/>
      <c r="FNE33" s="672"/>
      <c r="FNF33" s="672"/>
      <c r="FNG33" s="672"/>
      <c r="FNH33" s="672"/>
      <c r="FNI33" s="672"/>
      <c r="FNJ33" s="672"/>
      <c r="FNK33" s="672"/>
      <c r="FNL33" s="672"/>
      <c r="FNM33" s="672"/>
      <c r="FNN33" s="672"/>
      <c r="FNO33" s="672"/>
      <c r="FNP33" s="672"/>
      <c r="FNQ33" s="672"/>
      <c r="FNR33" s="672"/>
      <c r="FNS33" s="672"/>
      <c r="FNT33" s="672"/>
      <c r="FNU33" s="672"/>
      <c r="FNV33" s="672"/>
      <c r="FNW33" s="672"/>
      <c r="FNX33" s="672"/>
      <c r="FNY33" s="672"/>
      <c r="FNZ33" s="672"/>
      <c r="FOA33" s="672"/>
      <c r="FOB33" s="672"/>
      <c r="FOC33" s="672"/>
      <c r="FOD33" s="672"/>
      <c r="FOE33" s="672"/>
      <c r="FOF33" s="672"/>
      <c r="FOG33" s="672"/>
      <c r="FOH33" s="672"/>
      <c r="FOI33" s="672"/>
      <c r="FOJ33" s="672"/>
      <c r="FOK33" s="672"/>
      <c r="FOL33" s="672"/>
      <c r="FOM33" s="672"/>
      <c r="FON33" s="672"/>
      <c r="FOO33" s="672"/>
      <c r="FOP33" s="672"/>
      <c r="FOQ33" s="672"/>
      <c r="FOR33" s="672"/>
      <c r="FOS33" s="672"/>
      <c r="FOT33" s="672"/>
      <c r="FOU33" s="672"/>
      <c r="FOV33" s="672"/>
      <c r="FOW33" s="672"/>
      <c r="FOX33" s="672"/>
      <c r="FOY33" s="672"/>
      <c r="FOZ33" s="672"/>
      <c r="FPA33" s="672"/>
      <c r="FPB33" s="672"/>
      <c r="FPC33" s="672"/>
      <c r="FPD33" s="672"/>
      <c r="FPE33" s="672"/>
      <c r="FPF33" s="672"/>
      <c r="FPG33" s="672"/>
      <c r="FPH33" s="672"/>
      <c r="FPI33" s="672"/>
      <c r="FPJ33" s="672"/>
      <c r="FPK33" s="672"/>
      <c r="FPL33" s="672"/>
      <c r="FPM33" s="672"/>
      <c r="FPN33" s="672"/>
      <c r="FPO33" s="672"/>
      <c r="FPP33" s="672"/>
      <c r="FPQ33" s="672"/>
      <c r="FPR33" s="672"/>
      <c r="FPS33" s="672"/>
      <c r="FPT33" s="672"/>
      <c r="FPU33" s="672"/>
      <c r="FPV33" s="672"/>
      <c r="FPW33" s="672"/>
      <c r="FPX33" s="672"/>
      <c r="FPY33" s="672"/>
      <c r="FPZ33" s="672"/>
      <c r="FQA33" s="672"/>
      <c r="FQB33" s="672"/>
      <c r="FQC33" s="672"/>
      <c r="FQD33" s="672"/>
      <c r="FQE33" s="672"/>
      <c r="FQF33" s="672"/>
      <c r="FQG33" s="672"/>
      <c r="FQH33" s="672"/>
      <c r="FQI33" s="672"/>
      <c r="FQJ33" s="672"/>
      <c r="FQK33" s="672"/>
      <c r="FQL33" s="672"/>
      <c r="FQM33" s="672"/>
      <c r="FQN33" s="672"/>
      <c r="FQO33" s="672"/>
      <c r="FQP33" s="672"/>
      <c r="FQQ33" s="672"/>
      <c r="FQR33" s="672"/>
      <c r="FQS33" s="672"/>
      <c r="FQT33" s="672"/>
      <c r="FQU33" s="672"/>
      <c r="FQV33" s="672"/>
      <c r="FQW33" s="672"/>
      <c r="FQX33" s="672"/>
      <c r="FQY33" s="672"/>
      <c r="FQZ33" s="672"/>
      <c r="FRA33" s="672"/>
      <c r="FRB33" s="672"/>
      <c r="FRC33" s="672"/>
      <c r="FRD33" s="672"/>
      <c r="FRE33" s="672"/>
      <c r="FRF33" s="672"/>
      <c r="FRG33" s="672"/>
      <c r="FRH33" s="672"/>
      <c r="FRI33" s="672"/>
      <c r="FRJ33" s="672"/>
      <c r="FRK33" s="672"/>
      <c r="FRL33" s="672"/>
      <c r="FRM33" s="672"/>
      <c r="FRN33" s="672"/>
      <c r="FRO33" s="672"/>
      <c r="FRP33" s="672"/>
      <c r="FRQ33" s="672"/>
      <c r="FRR33" s="672"/>
      <c r="FRS33" s="672"/>
      <c r="FRT33" s="672"/>
      <c r="FRU33" s="672"/>
      <c r="FRV33" s="672"/>
      <c r="FRW33" s="672"/>
      <c r="FRX33" s="672"/>
      <c r="FRY33" s="672"/>
      <c r="FRZ33" s="672"/>
      <c r="FSA33" s="672"/>
      <c r="FSB33" s="672"/>
      <c r="FSC33" s="672"/>
      <c r="FSD33" s="672"/>
      <c r="FSE33" s="672"/>
      <c r="FSF33" s="672"/>
      <c r="FSG33" s="672"/>
      <c r="FSH33" s="672"/>
      <c r="FSI33" s="672"/>
      <c r="FSJ33" s="672"/>
      <c r="FSK33" s="672"/>
      <c r="FSL33" s="672"/>
      <c r="FSM33" s="672"/>
      <c r="FSN33" s="672"/>
      <c r="FSO33" s="672"/>
      <c r="FSP33" s="672"/>
      <c r="FSQ33" s="672"/>
      <c r="FSR33" s="672"/>
      <c r="FSS33" s="672"/>
      <c r="FST33" s="672"/>
      <c r="FSU33" s="672"/>
      <c r="FSV33" s="672"/>
      <c r="FSW33" s="672"/>
      <c r="FSX33" s="672"/>
      <c r="FSY33" s="672"/>
      <c r="FSZ33" s="672"/>
      <c r="FTA33" s="672"/>
      <c r="FTB33" s="672"/>
      <c r="FTC33" s="672"/>
      <c r="FTD33" s="672"/>
      <c r="FTE33" s="672"/>
      <c r="FTF33" s="672"/>
      <c r="FTG33" s="672"/>
      <c r="FTH33" s="672"/>
      <c r="FTI33" s="672"/>
      <c r="FTJ33" s="672"/>
      <c r="FTK33" s="672"/>
      <c r="FTL33" s="672"/>
      <c r="FTM33" s="672"/>
      <c r="FTN33" s="672"/>
      <c r="FTO33" s="672"/>
      <c r="FTP33" s="672"/>
      <c r="FTQ33" s="672"/>
      <c r="FTR33" s="672"/>
      <c r="FTS33" s="672"/>
      <c r="FTT33" s="672"/>
      <c r="FTU33" s="672"/>
      <c r="FTV33" s="672"/>
      <c r="FTW33" s="672"/>
      <c r="FTX33" s="672"/>
      <c r="FTY33" s="672"/>
      <c r="FTZ33" s="672"/>
      <c r="FUA33" s="672"/>
      <c r="FUB33" s="672"/>
      <c r="FUC33" s="672"/>
      <c r="FUD33" s="672"/>
      <c r="FUE33" s="672"/>
      <c r="FUF33" s="672"/>
      <c r="FUG33" s="672"/>
      <c r="FUH33" s="672"/>
      <c r="FUI33" s="672"/>
      <c r="FUJ33" s="672"/>
      <c r="FUK33" s="672"/>
      <c r="FUL33" s="672"/>
      <c r="FUM33" s="672"/>
      <c r="FUN33" s="672"/>
      <c r="FUO33" s="672"/>
      <c r="FUP33" s="672"/>
      <c r="FUQ33" s="672"/>
      <c r="FUR33" s="672"/>
      <c r="FUS33" s="672"/>
      <c r="FUT33" s="672"/>
      <c r="FUU33" s="672"/>
      <c r="FUV33" s="672"/>
      <c r="FUW33" s="672"/>
      <c r="FUX33" s="672"/>
      <c r="FUY33" s="672"/>
      <c r="FUZ33" s="672"/>
      <c r="FVA33" s="672"/>
      <c r="FVB33" s="672"/>
      <c r="FVC33" s="672"/>
      <c r="FVD33" s="672"/>
      <c r="FVE33" s="672"/>
      <c r="FVF33" s="672"/>
      <c r="FVG33" s="672"/>
      <c r="FVH33" s="672"/>
      <c r="FVI33" s="672"/>
      <c r="FVJ33" s="672"/>
      <c r="FVK33" s="672"/>
      <c r="FVL33" s="672"/>
      <c r="FVM33" s="672"/>
      <c r="FVN33" s="672"/>
      <c r="FVO33" s="672"/>
      <c r="FVP33" s="672"/>
      <c r="FVQ33" s="672"/>
      <c r="FVR33" s="672"/>
      <c r="FVS33" s="672"/>
      <c r="FVT33" s="672"/>
      <c r="FVU33" s="672"/>
      <c r="FVV33" s="672"/>
      <c r="FVW33" s="672"/>
      <c r="FVX33" s="672"/>
      <c r="FVY33" s="672"/>
      <c r="FVZ33" s="672"/>
      <c r="FWA33" s="672"/>
      <c r="FWB33" s="672"/>
      <c r="FWC33" s="672"/>
      <c r="FWD33" s="672"/>
      <c r="FWE33" s="672"/>
      <c r="FWF33" s="672"/>
      <c r="FWG33" s="672"/>
      <c r="FWH33" s="672"/>
      <c r="FWI33" s="672"/>
      <c r="FWJ33" s="672"/>
      <c r="FWK33" s="672"/>
      <c r="FWL33" s="672"/>
      <c r="FWM33" s="672"/>
      <c r="FWN33" s="672"/>
      <c r="FWO33" s="672"/>
      <c r="FWP33" s="672"/>
      <c r="FWQ33" s="672"/>
      <c r="FWR33" s="672"/>
      <c r="FWS33" s="672"/>
      <c r="FWT33" s="672"/>
      <c r="FWU33" s="672"/>
      <c r="FWV33" s="672"/>
      <c r="FWW33" s="672"/>
      <c r="FWX33" s="672"/>
      <c r="FWY33" s="672"/>
      <c r="FWZ33" s="672"/>
      <c r="FXA33" s="672"/>
      <c r="FXB33" s="672"/>
      <c r="FXC33" s="672"/>
      <c r="FXD33" s="672"/>
      <c r="FXE33" s="672"/>
      <c r="FXF33" s="672"/>
      <c r="FXG33" s="672"/>
      <c r="FXH33" s="672"/>
      <c r="FXI33" s="672"/>
      <c r="FXJ33" s="672"/>
      <c r="FXK33" s="672"/>
      <c r="FXL33" s="672"/>
      <c r="FXM33" s="672"/>
      <c r="FXN33" s="672"/>
      <c r="FXO33" s="672"/>
      <c r="FXP33" s="672"/>
      <c r="FXQ33" s="672"/>
      <c r="FXR33" s="672"/>
      <c r="FXS33" s="672"/>
      <c r="FXT33" s="672"/>
      <c r="FXU33" s="672"/>
      <c r="FXV33" s="672"/>
      <c r="FXW33" s="672"/>
      <c r="FXX33" s="672"/>
      <c r="FXY33" s="672"/>
      <c r="FXZ33" s="672"/>
      <c r="FYA33" s="672"/>
      <c r="FYB33" s="672"/>
      <c r="FYC33" s="672"/>
      <c r="FYD33" s="672"/>
      <c r="FYE33" s="672"/>
      <c r="FYF33" s="672"/>
      <c r="FYG33" s="672"/>
      <c r="FYH33" s="672"/>
      <c r="FYI33" s="672"/>
      <c r="FYJ33" s="672"/>
      <c r="FYK33" s="672"/>
      <c r="FYL33" s="672"/>
      <c r="FYM33" s="672"/>
      <c r="FYN33" s="672"/>
      <c r="FYO33" s="672"/>
      <c r="FYP33" s="672"/>
      <c r="FYQ33" s="672"/>
      <c r="FYR33" s="672"/>
      <c r="FYS33" s="672"/>
      <c r="FYT33" s="672"/>
      <c r="FYU33" s="672"/>
      <c r="FYV33" s="672"/>
      <c r="FYW33" s="672"/>
      <c r="FYX33" s="672"/>
      <c r="FYY33" s="672"/>
      <c r="FYZ33" s="672"/>
      <c r="FZA33" s="672"/>
      <c r="FZB33" s="672"/>
      <c r="FZC33" s="672"/>
      <c r="FZD33" s="672"/>
      <c r="FZE33" s="672"/>
      <c r="FZF33" s="672"/>
      <c r="FZG33" s="672"/>
      <c r="FZH33" s="672"/>
      <c r="FZI33" s="672"/>
      <c r="FZJ33" s="672"/>
      <c r="FZK33" s="672"/>
      <c r="FZL33" s="672"/>
      <c r="FZM33" s="672"/>
      <c r="FZN33" s="672"/>
      <c r="FZO33" s="672"/>
      <c r="FZP33" s="672"/>
      <c r="FZQ33" s="672"/>
      <c r="FZR33" s="672"/>
      <c r="FZS33" s="672"/>
      <c r="FZT33" s="672"/>
      <c r="FZU33" s="672"/>
      <c r="FZV33" s="672"/>
      <c r="FZW33" s="672"/>
      <c r="FZX33" s="672"/>
      <c r="FZY33" s="672"/>
      <c r="FZZ33" s="672"/>
      <c r="GAA33" s="672"/>
      <c r="GAB33" s="672"/>
      <c r="GAC33" s="672"/>
      <c r="GAD33" s="672"/>
      <c r="GAE33" s="672"/>
      <c r="GAF33" s="672"/>
      <c r="GAG33" s="672"/>
      <c r="GAH33" s="672"/>
      <c r="GAI33" s="672"/>
      <c r="GAJ33" s="672"/>
      <c r="GAK33" s="672"/>
      <c r="GAL33" s="672"/>
      <c r="GAM33" s="672"/>
      <c r="GAN33" s="672"/>
      <c r="GAO33" s="672"/>
      <c r="GAP33" s="672"/>
      <c r="GAQ33" s="672"/>
      <c r="GAR33" s="672"/>
      <c r="GAS33" s="672"/>
      <c r="GAT33" s="672"/>
      <c r="GAU33" s="672"/>
      <c r="GAV33" s="672"/>
      <c r="GAW33" s="672"/>
      <c r="GAX33" s="672"/>
      <c r="GAY33" s="672"/>
      <c r="GAZ33" s="672"/>
      <c r="GBA33" s="672"/>
      <c r="GBB33" s="672"/>
      <c r="GBC33" s="672"/>
      <c r="GBD33" s="672"/>
      <c r="GBE33" s="672"/>
      <c r="GBF33" s="672"/>
      <c r="GBG33" s="672"/>
      <c r="GBH33" s="672"/>
      <c r="GBI33" s="672"/>
      <c r="GBJ33" s="672"/>
      <c r="GBK33" s="672"/>
      <c r="GBL33" s="672"/>
      <c r="GBM33" s="672"/>
      <c r="GBN33" s="672"/>
      <c r="GBO33" s="672"/>
      <c r="GBP33" s="672"/>
      <c r="GBQ33" s="672"/>
      <c r="GBR33" s="672"/>
      <c r="GBS33" s="672"/>
      <c r="GBT33" s="672"/>
      <c r="GBU33" s="672"/>
      <c r="GBV33" s="672"/>
      <c r="GBW33" s="672"/>
      <c r="GBX33" s="672"/>
      <c r="GBY33" s="672"/>
      <c r="GBZ33" s="672"/>
      <c r="GCA33" s="672"/>
      <c r="GCB33" s="672"/>
      <c r="GCC33" s="672"/>
      <c r="GCD33" s="672"/>
      <c r="GCE33" s="672"/>
      <c r="GCF33" s="672"/>
      <c r="GCG33" s="672"/>
      <c r="GCH33" s="672"/>
      <c r="GCI33" s="672"/>
      <c r="GCJ33" s="672"/>
      <c r="GCK33" s="672"/>
      <c r="GCL33" s="672"/>
      <c r="GCM33" s="672"/>
      <c r="GCN33" s="672"/>
      <c r="GCO33" s="672"/>
      <c r="GCP33" s="672"/>
      <c r="GCQ33" s="672"/>
      <c r="GCR33" s="672"/>
      <c r="GCS33" s="672"/>
      <c r="GCT33" s="672"/>
      <c r="GCU33" s="672"/>
      <c r="GCV33" s="672"/>
      <c r="GCW33" s="672"/>
      <c r="GCX33" s="672"/>
      <c r="GCY33" s="672"/>
      <c r="GCZ33" s="672"/>
      <c r="GDA33" s="672"/>
      <c r="GDB33" s="672"/>
      <c r="GDC33" s="672"/>
      <c r="GDD33" s="672"/>
      <c r="GDE33" s="672"/>
      <c r="GDF33" s="672"/>
      <c r="GDG33" s="672"/>
      <c r="GDH33" s="672"/>
      <c r="GDI33" s="672"/>
      <c r="GDJ33" s="672"/>
      <c r="GDK33" s="672"/>
      <c r="GDL33" s="672"/>
      <c r="GDM33" s="672"/>
      <c r="GDN33" s="672"/>
      <c r="GDO33" s="672"/>
      <c r="GDP33" s="672"/>
      <c r="GDQ33" s="672"/>
      <c r="GDR33" s="672"/>
      <c r="GDS33" s="672"/>
      <c r="GDT33" s="672"/>
      <c r="GDU33" s="672"/>
      <c r="GDV33" s="672"/>
      <c r="GDW33" s="672"/>
      <c r="GDX33" s="672"/>
      <c r="GDY33" s="672"/>
      <c r="GDZ33" s="672"/>
      <c r="GEA33" s="672"/>
      <c r="GEB33" s="672"/>
      <c r="GEC33" s="672"/>
      <c r="GED33" s="672"/>
      <c r="GEE33" s="672"/>
      <c r="GEF33" s="672"/>
      <c r="GEG33" s="672"/>
      <c r="GEH33" s="672"/>
      <c r="GEI33" s="672"/>
      <c r="GEJ33" s="672"/>
      <c r="GEK33" s="672"/>
      <c r="GEL33" s="672"/>
      <c r="GEM33" s="672"/>
      <c r="GEN33" s="672"/>
      <c r="GEO33" s="672"/>
      <c r="GEP33" s="672"/>
      <c r="GEQ33" s="672"/>
      <c r="GER33" s="672"/>
      <c r="GES33" s="672"/>
      <c r="GET33" s="672"/>
      <c r="GEU33" s="672"/>
      <c r="GEV33" s="672"/>
      <c r="GEW33" s="672"/>
      <c r="GEX33" s="672"/>
      <c r="GEY33" s="672"/>
      <c r="GEZ33" s="672"/>
      <c r="GFA33" s="672"/>
      <c r="GFB33" s="672"/>
      <c r="GFC33" s="672"/>
      <c r="GFD33" s="672"/>
      <c r="GFE33" s="672"/>
      <c r="GFF33" s="672"/>
      <c r="GFG33" s="672"/>
      <c r="GFH33" s="672"/>
      <c r="GFI33" s="672"/>
      <c r="GFJ33" s="672"/>
      <c r="GFK33" s="672"/>
      <c r="GFL33" s="672"/>
      <c r="GFM33" s="672"/>
      <c r="GFN33" s="672"/>
      <c r="GFO33" s="672"/>
      <c r="GFP33" s="672"/>
      <c r="GFQ33" s="672"/>
      <c r="GFR33" s="672"/>
      <c r="GFS33" s="672"/>
      <c r="GFT33" s="672"/>
      <c r="GFU33" s="672"/>
      <c r="GFV33" s="672"/>
      <c r="GFW33" s="672"/>
      <c r="GFX33" s="672"/>
      <c r="GFY33" s="672"/>
      <c r="GFZ33" s="672"/>
      <c r="GGA33" s="672"/>
      <c r="GGB33" s="672"/>
      <c r="GGC33" s="672"/>
      <c r="GGD33" s="672"/>
      <c r="GGE33" s="672"/>
      <c r="GGF33" s="672"/>
      <c r="GGG33" s="672"/>
      <c r="GGH33" s="672"/>
      <c r="GGI33" s="672"/>
      <c r="GGJ33" s="672"/>
      <c r="GGK33" s="672"/>
      <c r="GGL33" s="672"/>
      <c r="GGM33" s="672"/>
      <c r="GGN33" s="672"/>
      <c r="GGO33" s="672"/>
      <c r="GGP33" s="672"/>
      <c r="GGQ33" s="672"/>
      <c r="GGR33" s="672"/>
      <c r="GGS33" s="672"/>
      <c r="GGT33" s="672"/>
      <c r="GGU33" s="672"/>
      <c r="GGV33" s="672"/>
      <c r="GGW33" s="672"/>
      <c r="GGX33" s="672"/>
      <c r="GGY33" s="672"/>
      <c r="GGZ33" s="672"/>
      <c r="GHA33" s="672"/>
      <c r="GHB33" s="672"/>
      <c r="GHC33" s="672"/>
      <c r="GHD33" s="672"/>
      <c r="GHE33" s="672"/>
      <c r="GHF33" s="672"/>
      <c r="GHG33" s="672"/>
      <c r="GHH33" s="672"/>
      <c r="GHI33" s="672"/>
      <c r="GHJ33" s="672"/>
      <c r="GHK33" s="672"/>
      <c r="GHL33" s="672"/>
      <c r="GHM33" s="672"/>
      <c r="GHN33" s="672"/>
      <c r="GHO33" s="672"/>
      <c r="GHP33" s="672"/>
      <c r="GHQ33" s="672"/>
      <c r="GHR33" s="672"/>
      <c r="GHS33" s="672"/>
      <c r="GHT33" s="672"/>
      <c r="GHU33" s="672"/>
      <c r="GHV33" s="672"/>
      <c r="GHW33" s="672"/>
      <c r="GHX33" s="672"/>
      <c r="GHY33" s="672"/>
      <c r="GHZ33" s="672"/>
      <c r="GIA33" s="672"/>
      <c r="GIB33" s="672"/>
      <c r="GIC33" s="672"/>
      <c r="GID33" s="672"/>
      <c r="GIE33" s="672"/>
      <c r="GIF33" s="672"/>
      <c r="GIG33" s="672"/>
      <c r="GIH33" s="672"/>
      <c r="GII33" s="672"/>
      <c r="GIJ33" s="672"/>
      <c r="GIK33" s="672"/>
      <c r="GIL33" s="672"/>
      <c r="GIM33" s="672"/>
      <c r="GIN33" s="672"/>
      <c r="GIO33" s="672"/>
      <c r="GIP33" s="672"/>
      <c r="GIQ33" s="672"/>
      <c r="GIR33" s="672"/>
      <c r="GIS33" s="672"/>
      <c r="GIT33" s="672"/>
      <c r="GIU33" s="672"/>
      <c r="GIV33" s="672"/>
      <c r="GIW33" s="672"/>
      <c r="GIX33" s="672"/>
      <c r="GIY33" s="672"/>
      <c r="GIZ33" s="672"/>
      <c r="GJA33" s="672"/>
      <c r="GJB33" s="672"/>
      <c r="GJC33" s="672"/>
      <c r="GJD33" s="672"/>
      <c r="GJE33" s="672"/>
      <c r="GJF33" s="672"/>
      <c r="GJG33" s="672"/>
      <c r="GJH33" s="672"/>
      <c r="GJI33" s="672"/>
      <c r="GJJ33" s="672"/>
      <c r="GJK33" s="672"/>
      <c r="GJL33" s="672"/>
      <c r="GJM33" s="672"/>
      <c r="GJN33" s="672"/>
      <c r="GJO33" s="672"/>
      <c r="GJP33" s="672"/>
      <c r="GJQ33" s="672"/>
      <c r="GJR33" s="672"/>
      <c r="GJS33" s="672"/>
      <c r="GJT33" s="672"/>
      <c r="GJU33" s="672"/>
      <c r="GJV33" s="672"/>
      <c r="GJW33" s="672"/>
      <c r="GJX33" s="672"/>
      <c r="GJY33" s="672"/>
      <c r="GJZ33" s="672"/>
      <c r="GKA33" s="672"/>
      <c r="GKB33" s="672"/>
      <c r="GKC33" s="672"/>
      <c r="GKD33" s="672"/>
      <c r="GKE33" s="672"/>
      <c r="GKF33" s="672"/>
      <c r="GKG33" s="672"/>
      <c r="GKH33" s="672"/>
      <c r="GKI33" s="672"/>
      <c r="GKJ33" s="672"/>
      <c r="GKK33" s="672"/>
      <c r="GKL33" s="672"/>
      <c r="GKM33" s="672"/>
      <c r="GKN33" s="672"/>
      <c r="GKO33" s="672"/>
      <c r="GKP33" s="672"/>
      <c r="GKQ33" s="672"/>
      <c r="GKR33" s="672"/>
      <c r="GKS33" s="672"/>
      <c r="GKT33" s="672"/>
      <c r="GKU33" s="672"/>
      <c r="GKV33" s="672"/>
      <c r="GKW33" s="672"/>
      <c r="GKX33" s="672"/>
      <c r="GKY33" s="672"/>
      <c r="GKZ33" s="672"/>
      <c r="GLA33" s="672"/>
      <c r="GLB33" s="672"/>
      <c r="GLC33" s="672"/>
      <c r="GLD33" s="672"/>
      <c r="GLE33" s="672"/>
      <c r="GLF33" s="672"/>
      <c r="GLG33" s="672"/>
      <c r="GLH33" s="672"/>
      <c r="GLI33" s="672"/>
      <c r="GLJ33" s="672"/>
      <c r="GLK33" s="672"/>
      <c r="GLL33" s="672"/>
      <c r="GLM33" s="672"/>
      <c r="GLN33" s="672"/>
      <c r="GLO33" s="672"/>
      <c r="GLP33" s="672"/>
      <c r="GLQ33" s="672"/>
      <c r="GLR33" s="672"/>
      <c r="GLS33" s="672"/>
      <c r="GLT33" s="672"/>
      <c r="GLU33" s="672"/>
      <c r="GLV33" s="672"/>
      <c r="GLW33" s="672"/>
      <c r="GLX33" s="672"/>
      <c r="GLY33" s="672"/>
      <c r="GLZ33" s="672"/>
      <c r="GMA33" s="672"/>
      <c r="GMB33" s="672"/>
      <c r="GMC33" s="672"/>
      <c r="GMD33" s="672"/>
      <c r="GME33" s="672"/>
      <c r="GMF33" s="672"/>
      <c r="GMG33" s="672"/>
      <c r="GMH33" s="672"/>
      <c r="GMI33" s="672"/>
      <c r="GMJ33" s="672"/>
      <c r="GMK33" s="672"/>
      <c r="GML33" s="672"/>
      <c r="GMM33" s="672"/>
      <c r="GMN33" s="672"/>
      <c r="GMO33" s="672"/>
      <c r="GMP33" s="672"/>
      <c r="GMQ33" s="672"/>
      <c r="GMR33" s="672"/>
      <c r="GMS33" s="672"/>
      <c r="GMT33" s="672"/>
      <c r="GMU33" s="672"/>
      <c r="GMV33" s="672"/>
      <c r="GMW33" s="672"/>
      <c r="GMX33" s="672"/>
      <c r="GMY33" s="672"/>
      <c r="GMZ33" s="672"/>
      <c r="GNA33" s="672"/>
      <c r="GNB33" s="672"/>
      <c r="GNC33" s="672"/>
      <c r="GND33" s="672"/>
      <c r="GNE33" s="672"/>
      <c r="GNF33" s="672"/>
      <c r="GNG33" s="672"/>
      <c r="GNH33" s="672"/>
      <c r="GNI33" s="672"/>
      <c r="GNJ33" s="672"/>
      <c r="GNK33" s="672"/>
      <c r="GNL33" s="672"/>
      <c r="GNM33" s="672"/>
      <c r="GNN33" s="672"/>
      <c r="GNO33" s="672"/>
      <c r="GNP33" s="672"/>
      <c r="GNQ33" s="672"/>
      <c r="GNR33" s="672"/>
      <c r="GNS33" s="672"/>
      <c r="GNT33" s="672"/>
      <c r="GNU33" s="672"/>
      <c r="GNV33" s="672"/>
      <c r="GNW33" s="672"/>
      <c r="GNX33" s="672"/>
      <c r="GNY33" s="672"/>
      <c r="GNZ33" s="672"/>
      <c r="GOA33" s="672"/>
      <c r="GOB33" s="672"/>
      <c r="GOC33" s="672"/>
      <c r="GOD33" s="672"/>
      <c r="GOE33" s="672"/>
      <c r="GOF33" s="672"/>
      <c r="GOG33" s="672"/>
      <c r="GOH33" s="672"/>
      <c r="GOI33" s="672"/>
      <c r="GOJ33" s="672"/>
      <c r="GOK33" s="672"/>
      <c r="GOL33" s="672"/>
      <c r="GOM33" s="672"/>
      <c r="GON33" s="672"/>
      <c r="GOO33" s="672"/>
      <c r="GOP33" s="672"/>
      <c r="GOQ33" s="672"/>
      <c r="GOR33" s="672"/>
      <c r="GOS33" s="672"/>
      <c r="GOT33" s="672"/>
      <c r="GOU33" s="672"/>
      <c r="GOV33" s="672"/>
      <c r="GOW33" s="672"/>
      <c r="GOX33" s="672"/>
      <c r="GOY33" s="672"/>
      <c r="GOZ33" s="672"/>
      <c r="GPA33" s="672"/>
      <c r="GPB33" s="672"/>
      <c r="GPC33" s="672"/>
      <c r="GPD33" s="672"/>
      <c r="GPE33" s="672"/>
      <c r="GPF33" s="672"/>
      <c r="GPG33" s="672"/>
      <c r="GPH33" s="672"/>
      <c r="GPI33" s="672"/>
      <c r="GPJ33" s="672"/>
      <c r="GPK33" s="672"/>
      <c r="GPL33" s="672"/>
      <c r="GPM33" s="672"/>
      <c r="GPN33" s="672"/>
      <c r="GPO33" s="672"/>
      <c r="GPP33" s="672"/>
      <c r="GPQ33" s="672"/>
      <c r="GPR33" s="672"/>
      <c r="GPS33" s="672"/>
      <c r="GPT33" s="672"/>
      <c r="GPU33" s="672"/>
      <c r="GPV33" s="672"/>
      <c r="GPW33" s="672"/>
      <c r="GPX33" s="672"/>
      <c r="GPY33" s="672"/>
      <c r="GPZ33" s="672"/>
      <c r="GQA33" s="672"/>
      <c r="GQB33" s="672"/>
      <c r="GQC33" s="672"/>
      <c r="GQD33" s="672"/>
      <c r="GQE33" s="672"/>
      <c r="GQF33" s="672"/>
      <c r="GQG33" s="672"/>
      <c r="GQH33" s="672"/>
      <c r="GQI33" s="672"/>
      <c r="GQJ33" s="672"/>
      <c r="GQK33" s="672"/>
      <c r="GQL33" s="672"/>
      <c r="GQM33" s="672"/>
      <c r="GQN33" s="672"/>
      <c r="GQO33" s="672"/>
      <c r="GQP33" s="672"/>
      <c r="GQQ33" s="672"/>
      <c r="GQR33" s="672"/>
      <c r="GQS33" s="672"/>
      <c r="GQT33" s="672"/>
      <c r="GQU33" s="672"/>
      <c r="GQV33" s="672"/>
      <c r="GQW33" s="672"/>
      <c r="GQX33" s="672"/>
      <c r="GQY33" s="672"/>
      <c r="GQZ33" s="672"/>
      <c r="GRA33" s="672"/>
      <c r="GRB33" s="672"/>
      <c r="GRC33" s="672"/>
      <c r="GRD33" s="672"/>
      <c r="GRE33" s="672"/>
      <c r="GRF33" s="672"/>
      <c r="GRG33" s="672"/>
      <c r="GRH33" s="672"/>
      <c r="GRI33" s="672"/>
      <c r="GRJ33" s="672"/>
      <c r="GRK33" s="672"/>
      <c r="GRL33" s="672"/>
      <c r="GRM33" s="672"/>
      <c r="GRN33" s="672"/>
      <c r="GRO33" s="672"/>
      <c r="GRP33" s="672"/>
      <c r="GRQ33" s="672"/>
      <c r="GRR33" s="672"/>
      <c r="GRS33" s="672"/>
      <c r="GRT33" s="672"/>
      <c r="GRU33" s="672"/>
      <c r="GRV33" s="672"/>
      <c r="GRW33" s="672"/>
      <c r="GRX33" s="672"/>
      <c r="GRY33" s="672"/>
      <c r="GRZ33" s="672"/>
      <c r="GSA33" s="672"/>
      <c r="GSB33" s="672"/>
      <c r="GSC33" s="672"/>
      <c r="GSD33" s="672"/>
      <c r="GSE33" s="672"/>
      <c r="GSF33" s="672"/>
      <c r="GSG33" s="672"/>
      <c r="GSH33" s="672"/>
      <c r="GSI33" s="672"/>
      <c r="GSJ33" s="672"/>
      <c r="GSK33" s="672"/>
      <c r="GSL33" s="672"/>
      <c r="GSM33" s="672"/>
      <c r="GSN33" s="672"/>
      <c r="GSO33" s="672"/>
      <c r="GSP33" s="672"/>
      <c r="GSQ33" s="672"/>
      <c r="GSR33" s="672"/>
      <c r="GSS33" s="672"/>
      <c r="GST33" s="672"/>
      <c r="GSU33" s="672"/>
      <c r="GSV33" s="672"/>
      <c r="GSW33" s="672"/>
      <c r="GSX33" s="672"/>
      <c r="GSY33" s="672"/>
      <c r="GSZ33" s="672"/>
      <c r="GTA33" s="672"/>
      <c r="GTB33" s="672"/>
      <c r="GTC33" s="672"/>
      <c r="GTD33" s="672"/>
      <c r="GTE33" s="672"/>
      <c r="GTF33" s="672"/>
      <c r="GTG33" s="672"/>
      <c r="GTH33" s="672"/>
      <c r="GTI33" s="672"/>
      <c r="GTJ33" s="672"/>
      <c r="GTK33" s="672"/>
      <c r="GTL33" s="672"/>
      <c r="GTM33" s="672"/>
      <c r="GTN33" s="672"/>
      <c r="GTO33" s="672"/>
      <c r="GTP33" s="672"/>
      <c r="GTQ33" s="672"/>
      <c r="GTR33" s="672"/>
      <c r="GTS33" s="672"/>
      <c r="GTT33" s="672"/>
      <c r="GTU33" s="672"/>
      <c r="GTV33" s="672"/>
      <c r="GTW33" s="672"/>
      <c r="GTX33" s="672"/>
      <c r="GTY33" s="672"/>
      <c r="GTZ33" s="672"/>
      <c r="GUA33" s="672"/>
      <c r="GUB33" s="672"/>
      <c r="GUC33" s="672"/>
      <c r="GUD33" s="672"/>
      <c r="GUE33" s="672"/>
      <c r="GUF33" s="672"/>
      <c r="GUG33" s="672"/>
      <c r="GUH33" s="672"/>
      <c r="GUI33" s="672"/>
      <c r="GUJ33" s="672"/>
      <c r="GUK33" s="672"/>
      <c r="GUL33" s="672"/>
      <c r="GUM33" s="672"/>
      <c r="GUN33" s="672"/>
      <c r="GUO33" s="672"/>
      <c r="GUP33" s="672"/>
      <c r="GUQ33" s="672"/>
      <c r="GUR33" s="672"/>
      <c r="GUS33" s="672"/>
      <c r="GUT33" s="672"/>
      <c r="GUU33" s="672"/>
      <c r="GUV33" s="672"/>
      <c r="GUW33" s="672"/>
      <c r="GUX33" s="672"/>
      <c r="GUY33" s="672"/>
      <c r="GUZ33" s="672"/>
      <c r="GVA33" s="672"/>
      <c r="GVB33" s="672"/>
      <c r="GVC33" s="672"/>
      <c r="GVD33" s="672"/>
      <c r="GVE33" s="672"/>
      <c r="GVF33" s="672"/>
      <c r="GVG33" s="672"/>
      <c r="GVH33" s="672"/>
      <c r="GVI33" s="672"/>
      <c r="GVJ33" s="672"/>
      <c r="GVK33" s="672"/>
      <c r="GVL33" s="672"/>
      <c r="GVM33" s="672"/>
      <c r="GVN33" s="672"/>
      <c r="GVO33" s="672"/>
      <c r="GVP33" s="672"/>
      <c r="GVQ33" s="672"/>
      <c r="GVR33" s="672"/>
      <c r="GVS33" s="672"/>
      <c r="GVT33" s="672"/>
      <c r="GVU33" s="672"/>
      <c r="GVV33" s="672"/>
      <c r="GVW33" s="672"/>
      <c r="GVX33" s="672"/>
      <c r="GVY33" s="672"/>
      <c r="GVZ33" s="672"/>
      <c r="GWA33" s="672"/>
      <c r="GWB33" s="672"/>
      <c r="GWC33" s="672"/>
      <c r="GWD33" s="672"/>
      <c r="GWE33" s="672"/>
      <c r="GWF33" s="672"/>
      <c r="GWG33" s="672"/>
      <c r="GWH33" s="672"/>
      <c r="GWI33" s="672"/>
      <c r="GWJ33" s="672"/>
      <c r="GWK33" s="672"/>
      <c r="GWL33" s="672"/>
      <c r="GWM33" s="672"/>
      <c r="GWN33" s="672"/>
      <c r="GWO33" s="672"/>
      <c r="GWP33" s="672"/>
      <c r="GWQ33" s="672"/>
      <c r="GWR33" s="672"/>
      <c r="GWS33" s="672"/>
      <c r="GWT33" s="672"/>
      <c r="GWU33" s="672"/>
      <c r="GWV33" s="672"/>
      <c r="GWW33" s="672"/>
      <c r="GWX33" s="672"/>
      <c r="GWY33" s="672"/>
      <c r="GWZ33" s="672"/>
      <c r="GXA33" s="672"/>
      <c r="GXB33" s="672"/>
      <c r="GXC33" s="672"/>
      <c r="GXD33" s="672"/>
      <c r="GXE33" s="672"/>
      <c r="GXF33" s="672"/>
      <c r="GXG33" s="672"/>
      <c r="GXH33" s="672"/>
      <c r="GXI33" s="672"/>
      <c r="GXJ33" s="672"/>
      <c r="GXK33" s="672"/>
      <c r="GXL33" s="672"/>
      <c r="GXM33" s="672"/>
      <c r="GXN33" s="672"/>
      <c r="GXO33" s="672"/>
      <c r="GXP33" s="672"/>
      <c r="GXQ33" s="672"/>
      <c r="GXR33" s="672"/>
      <c r="GXS33" s="672"/>
      <c r="GXT33" s="672"/>
      <c r="GXU33" s="672"/>
      <c r="GXV33" s="672"/>
      <c r="GXW33" s="672"/>
      <c r="GXX33" s="672"/>
      <c r="GXY33" s="672"/>
      <c r="GXZ33" s="672"/>
      <c r="GYA33" s="672"/>
      <c r="GYB33" s="672"/>
      <c r="GYC33" s="672"/>
      <c r="GYD33" s="672"/>
      <c r="GYE33" s="672"/>
      <c r="GYF33" s="672"/>
      <c r="GYG33" s="672"/>
      <c r="GYH33" s="672"/>
      <c r="GYI33" s="672"/>
      <c r="GYJ33" s="672"/>
      <c r="GYK33" s="672"/>
      <c r="GYL33" s="672"/>
      <c r="GYM33" s="672"/>
      <c r="GYN33" s="672"/>
      <c r="GYO33" s="672"/>
      <c r="GYP33" s="672"/>
      <c r="GYQ33" s="672"/>
      <c r="GYR33" s="672"/>
      <c r="GYS33" s="672"/>
      <c r="GYT33" s="672"/>
      <c r="GYU33" s="672"/>
      <c r="GYV33" s="672"/>
      <c r="GYW33" s="672"/>
      <c r="GYX33" s="672"/>
      <c r="GYY33" s="672"/>
      <c r="GYZ33" s="672"/>
      <c r="GZA33" s="672"/>
      <c r="GZB33" s="672"/>
      <c r="GZC33" s="672"/>
      <c r="GZD33" s="672"/>
      <c r="GZE33" s="672"/>
      <c r="GZF33" s="672"/>
      <c r="GZG33" s="672"/>
      <c r="GZH33" s="672"/>
      <c r="GZI33" s="672"/>
      <c r="GZJ33" s="672"/>
      <c r="GZK33" s="672"/>
      <c r="GZL33" s="672"/>
      <c r="GZM33" s="672"/>
      <c r="GZN33" s="672"/>
      <c r="GZO33" s="672"/>
      <c r="GZP33" s="672"/>
      <c r="GZQ33" s="672"/>
      <c r="GZR33" s="672"/>
      <c r="GZS33" s="672"/>
      <c r="GZT33" s="672"/>
      <c r="GZU33" s="672"/>
      <c r="GZV33" s="672"/>
      <c r="GZW33" s="672"/>
      <c r="GZX33" s="672"/>
      <c r="GZY33" s="672"/>
      <c r="GZZ33" s="672"/>
      <c r="HAA33" s="672"/>
      <c r="HAB33" s="672"/>
      <c r="HAC33" s="672"/>
      <c r="HAD33" s="672"/>
      <c r="HAE33" s="672"/>
      <c r="HAF33" s="672"/>
      <c r="HAG33" s="672"/>
      <c r="HAH33" s="672"/>
      <c r="HAI33" s="672"/>
      <c r="HAJ33" s="672"/>
      <c r="HAK33" s="672"/>
      <c r="HAL33" s="672"/>
      <c r="HAM33" s="672"/>
      <c r="HAN33" s="672"/>
      <c r="HAO33" s="672"/>
      <c r="HAP33" s="672"/>
      <c r="HAQ33" s="672"/>
      <c r="HAR33" s="672"/>
      <c r="HAS33" s="672"/>
      <c r="HAT33" s="672"/>
      <c r="HAU33" s="672"/>
      <c r="HAV33" s="672"/>
      <c r="HAW33" s="672"/>
      <c r="HAX33" s="672"/>
      <c r="HAY33" s="672"/>
      <c r="HAZ33" s="672"/>
      <c r="HBA33" s="672"/>
      <c r="HBB33" s="672"/>
      <c r="HBC33" s="672"/>
      <c r="HBD33" s="672"/>
      <c r="HBE33" s="672"/>
      <c r="HBF33" s="672"/>
      <c r="HBG33" s="672"/>
      <c r="HBH33" s="672"/>
      <c r="HBI33" s="672"/>
      <c r="HBJ33" s="672"/>
      <c r="HBK33" s="672"/>
      <c r="HBL33" s="672"/>
      <c r="HBM33" s="672"/>
      <c r="HBN33" s="672"/>
      <c r="HBO33" s="672"/>
      <c r="HBP33" s="672"/>
      <c r="HBQ33" s="672"/>
      <c r="HBR33" s="672"/>
      <c r="HBS33" s="672"/>
      <c r="HBT33" s="672"/>
      <c r="HBU33" s="672"/>
      <c r="HBV33" s="672"/>
      <c r="HBW33" s="672"/>
      <c r="HBX33" s="672"/>
      <c r="HBY33" s="672"/>
      <c r="HBZ33" s="672"/>
      <c r="HCA33" s="672"/>
      <c r="HCB33" s="672"/>
      <c r="HCC33" s="672"/>
      <c r="HCD33" s="672"/>
      <c r="HCE33" s="672"/>
      <c r="HCF33" s="672"/>
      <c r="HCG33" s="672"/>
      <c r="HCH33" s="672"/>
      <c r="HCI33" s="672"/>
      <c r="HCJ33" s="672"/>
      <c r="HCK33" s="672"/>
      <c r="HCL33" s="672"/>
      <c r="HCM33" s="672"/>
      <c r="HCN33" s="672"/>
      <c r="HCO33" s="672"/>
      <c r="HCP33" s="672"/>
      <c r="HCQ33" s="672"/>
      <c r="HCR33" s="672"/>
      <c r="HCS33" s="672"/>
      <c r="HCT33" s="672"/>
      <c r="HCU33" s="672"/>
      <c r="HCV33" s="672"/>
      <c r="HCW33" s="672"/>
      <c r="HCX33" s="672"/>
      <c r="HCY33" s="672"/>
      <c r="HCZ33" s="672"/>
      <c r="HDA33" s="672"/>
      <c r="HDB33" s="672"/>
      <c r="HDC33" s="672"/>
      <c r="HDD33" s="672"/>
      <c r="HDE33" s="672"/>
      <c r="HDF33" s="672"/>
      <c r="HDG33" s="672"/>
      <c r="HDH33" s="672"/>
      <c r="HDI33" s="672"/>
      <c r="HDJ33" s="672"/>
      <c r="HDK33" s="672"/>
      <c r="HDL33" s="672"/>
      <c r="HDM33" s="672"/>
      <c r="HDN33" s="672"/>
      <c r="HDO33" s="672"/>
      <c r="HDP33" s="672"/>
      <c r="HDQ33" s="672"/>
      <c r="HDR33" s="672"/>
      <c r="HDS33" s="672"/>
      <c r="HDT33" s="672"/>
      <c r="HDU33" s="672"/>
      <c r="HDV33" s="672"/>
      <c r="HDW33" s="672"/>
      <c r="HDX33" s="672"/>
      <c r="HDY33" s="672"/>
      <c r="HDZ33" s="672"/>
      <c r="HEA33" s="672"/>
      <c r="HEB33" s="672"/>
      <c r="HEC33" s="672"/>
      <c r="HED33" s="672"/>
      <c r="HEE33" s="672"/>
      <c r="HEF33" s="672"/>
      <c r="HEG33" s="672"/>
      <c r="HEH33" s="672"/>
      <c r="HEI33" s="672"/>
      <c r="HEJ33" s="672"/>
      <c r="HEK33" s="672"/>
      <c r="HEL33" s="672"/>
      <c r="HEM33" s="672"/>
      <c r="HEN33" s="672"/>
      <c r="HEO33" s="672"/>
      <c r="HEP33" s="672"/>
      <c r="HEQ33" s="672"/>
      <c r="HER33" s="672"/>
      <c r="HES33" s="672"/>
      <c r="HET33" s="672"/>
      <c r="HEU33" s="672"/>
      <c r="HEV33" s="672"/>
      <c r="HEW33" s="672"/>
      <c r="HEX33" s="672"/>
      <c r="HEY33" s="672"/>
      <c r="HEZ33" s="672"/>
      <c r="HFA33" s="672"/>
      <c r="HFB33" s="672"/>
      <c r="HFC33" s="672"/>
      <c r="HFD33" s="672"/>
      <c r="HFE33" s="672"/>
      <c r="HFF33" s="672"/>
      <c r="HFG33" s="672"/>
      <c r="HFH33" s="672"/>
      <c r="HFI33" s="672"/>
      <c r="HFJ33" s="672"/>
      <c r="HFK33" s="672"/>
      <c r="HFL33" s="672"/>
      <c r="HFM33" s="672"/>
      <c r="HFN33" s="672"/>
      <c r="HFO33" s="672"/>
      <c r="HFP33" s="672"/>
      <c r="HFQ33" s="672"/>
      <c r="HFR33" s="672"/>
      <c r="HFS33" s="672"/>
      <c r="HFT33" s="672"/>
      <c r="HFU33" s="672"/>
      <c r="HFV33" s="672"/>
      <c r="HFW33" s="672"/>
      <c r="HFX33" s="672"/>
      <c r="HFY33" s="672"/>
      <c r="HFZ33" s="672"/>
      <c r="HGA33" s="672"/>
      <c r="HGB33" s="672"/>
      <c r="HGC33" s="672"/>
      <c r="HGD33" s="672"/>
      <c r="HGE33" s="672"/>
      <c r="HGF33" s="672"/>
      <c r="HGG33" s="672"/>
      <c r="HGH33" s="672"/>
      <c r="HGI33" s="672"/>
      <c r="HGJ33" s="672"/>
      <c r="HGK33" s="672"/>
      <c r="HGL33" s="672"/>
      <c r="HGM33" s="672"/>
      <c r="HGN33" s="672"/>
      <c r="HGO33" s="672"/>
      <c r="HGP33" s="672"/>
      <c r="HGQ33" s="672"/>
      <c r="HGR33" s="672"/>
      <c r="HGS33" s="672"/>
      <c r="HGT33" s="672"/>
      <c r="HGU33" s="672"/>
      <c r="HGV33" s="672"/>
      <c r="HGW33" s="672"/>
      <c r="HGX33" s="672"/>
      <c r="HGY33" s="672"/>
      <c r="HGZ33" s="672"/>
      <c r="HHA33" s="672"/>
      <c r="HHB33" s="672"/>
      <c r="HHC33" s="672"/>
      <c r="HHD33" s="672"/>
      <c r="HHE33" s="672"/>
      <c r="HHF33" s="672"/>
      <c r="HHG33" s="672"/>
      <c r="HHH33" s="672"/>
      <c r="HHI33" s="672"/>
      <c r="HHJ33" s="672"/>
      <c r="HHK33" s="672"/>
      <c r="HHL33" s="672"/>
      <c r="HHM33" s="672"/>
      <c r="HHN33" s="672"/>
      <c r="HHO33" s="672"/>
      <c r="HHP33" s="672"/>
      <c r="HHQ33" s="672"/>
      <c r="HHR33" s="672"/>
      <c r="HHS33" s="672"/>
      <c r="HHT33" s="672"/>
      <c r="HHU33" s="672"/>
      <c r="HHV33" s="672"/>
      <c r="HHW33" s="672"/>
      <c r="HHX33" s="672"/>
      <c r="HHY33" s="672"/>
      <c r="HHZ33" s="672"/>
      <c r="HIA33" s="672"/>
      <c r="HIB33" s="672"/>
      <c r="HIC33" s="672"/>
      <c r="HID33" s="672"/>
      <c r="HIE33" s="672"/>
      <c r="HIF33" s="672"/>
      <c r="HIG33" s="672"/>
      <c r="HIH33" s="672"/>
      <c r="HII33" s="672"/>
      <c r="HIJ33" s="672"/>
      <c r="HIK33" s="672"/>
      <c r="HIL33" s="672"/>
      <c r="HIM33" s="672"/>
      <c r="HIN33" s="672"/>
      <c r="HIO33" s="672"/>
      <c r="HIP33" s="672"/>
      <c r="HIQ33" s="672"/>
      <c r="HIR33" s="672"/>
      <c r="HIS33" s="672"/>
      <c r="HIT33" s="672"/>
      <c r="HIU33" s="672"/>
      <c r="HIV33" s="672"/>
      <c r="HIW33" s="672"/>
      <c r="HIX33" s="672"/>
      <c r="HIY33" s="672"/>
      <c r="HIZ33" s="672"/>
      <c r="HJA33" s="672"/>
      <c r="HJB33" s="672"/>
      <c r="HJC33" s="672"/>
      <c r="HJD33" s="672"/>
      <c r="HJE33" s="672"/>
      <c r="HJF33" s="672"/>
      <c r="HJG33" s="672"/>
      <c r="HJH33" s="672"/>
      <c r="HJI33" s="672"/>
      <c r="HJJ33" s="672"/>
      <c r="HJK33" s="672"/>
      <c r="HJL33" s="672"/>
      <c r="HJM33" s="672"/>
      <c r="HJN33" s="672"/>
      <c r="HJO33" s="672"/>
      <c r="HJP33" s="672"/>
      <c r="HJQ33" s="672"/>
      <c r="HJR33" s="672"/>
      <c r="HJS33" s="672"/>
      <c r="HJT33" s="672"/>
      <c r="HJU33" s="672"/>
      <c r="HJV33" s="672"/>
      <c r="HJW33" s="672"/>
      <c r="HJX33" s="672"/>
      <c r="HJY33" s="672"/>
      <c r="HJZ33" s="672"/>
      <c r="HKA33" s="672"/>
      <c r="HKB33" s="672"/>
      <c r="HKC33" s="672"/>
      <c r="HKD33" s="672"/>
      <c r="HKE33" s="672"/>
      <c r="HKF33" s="672"/>
      <c r="HKG33" s="672"/>
      <c r="HKH33" s="672"/>
      <c r="HKI33" s="672"/>
      <c r="HKJ33" s="672"/>
      <c r="HKK33" s="672"/>
      <c r="HKL33" s="672"/>
      <c r="HKM33" s="672"/>
      <c r="HKN33" s="672"/>
      <c r="HKO33" s="672"/>
      <c r="HKP33" s="672"/>
      <c r="HKQ33" s="672"/>
      <c r="HKR33" s="672"/>
      <c r="HKS33" s="672"/>
      <c r="HKT33" s="672"/>
      <c r="HKU33" s="672"/>
      <c r="HKV33" s="672"/>
      <c r="HKW33" s="672"/>
      <c r="HKX33" s="672"/>
      <c r="HKY33" s="672"/>
      <c r="HKZ33" s="672"/>
      <c r="HLA33" s="672"/>
      <c r="HLB33" s="672"/>
      <c r="HLC33" s="672"/>
      <c r="HLD33" s="672"/>
      <c r="HLE33" s="672"/>
      <c r="HLF33" s="672"/>
      <c r="HLG33" s="672"/>
      <c r="HLH33" s="672"/>
      <c r="HLI33" s="672"/>
      <c r="HLJ33" s="672"/>
      <c r="HLK33" s="672"/>
      <c r="HLL33" s="672"/>
      <c r="HLM33" s="672"/>
      <c r="HLN33" s="672"/>
      <c r="HLO33" s="672"/>
      <c r="HLP33" s="672"/>
      <c r="HLQ33" s="672"/>
      <c r="HLR33" s="672"/>
      <c r="HLS33" s="672"/>
      <c r="HLT33" s="672"/>
      <c r="HLU33" s="672"/>
      <c r="HLV33" s="672"/>
      <c r="HLW33" s="672"/>
      <c r="HLX33" s="672"/>
      <c r="HLY33" s="672"/>
      <c r="HLZ33" s="672"/>
      <c r="HMA33" s="672"/>
      <c r="HMB33" s="672"/>
      <c r="HMC33" s="672"/>
      <c r="HMD33" s="672"/>
      <c r="HME33" s="672"/>
      <c r="HMF33" s="672"/>
      <c r="HMG33" s="672"/>
      <c r="HMH33" s="672"/>
      <c r="HMI33" s="672"/>
      <c r="HMJ33" s="672"/>
      <c r="HMK33" s="672"/>
      <c r="HML33" s="672"/>
      <c r="HMM33" s="672"/>
      <c r="HMN33" s="672"/>
      <c r="HMO33" s="672"/>
      <c r="HMP33" s="672"/>
      <c r="HMQ33" s="672"/>
      <c r="HMR33" s="672"/>
      <c r="HMS33" s="672"/>
      <c r="HMT33" s="672"/>
      <c r="HMU33" s="672"/>
      <c r="HMV33" s="672"/>
      <c r="HMW33" s="672"/>
      <c r="HMX33" s="672"/>
      <c r="HMY33" s="672"/>
      <c r="HMZ33" s="672"/>
      <c r="HNA33" s="672"/>
      <c r="HNB33" s="672"/>
      <c r="HNC33" s="672"/>
      <c r="HND33" s="672"/>
      <c r="HNE33" s="672"/>
      <c r="HNF33" s="672"/>
      <c r="HNG33" s="672"/>
      <c r="HNH33" s="672"/>
      <c r="HNI33" s="672"/>
      <c r="HNJ33" s="672"/>
      <c r="HNK33" s="672"/>
      <c r="HNL33" s="672"/>
      <c r="HNM33" s="672"/>
      <c r="HNN33" s="672"/>
      <c r="HNO33" s="672"/>
      <c r="HNP33" s="672"/>
      <c r="HNQ33" s="672"/>
      <c r="HNR33" s="672"/>
      <c r="HNS33" s="672"/>
      <c r="HNT33" s="672"/>
      <c r="HNU33" s="672"/>
      <c r="HNV33" s="672"/>
      <c r="HNW33" s="672"/>
      <c r="HNX33" s="672"/>
      <c r="HNY33" s="672"/>
      <c r="HNZ33" s="672"/>
      <c r="HOA33" s="672"/>
      <c r="HOB33" s="672"/>
      <c r="HOC33" s="672"/>
      <c r="HOD33" s="672"/>
      <c r="HOE33" s="672"/>
      <c r="HOF33" s="672"/>
      <c r="HOG33" s="672"/>
      <c r="HOH33" s="672"/>
      <c r="HOI33" s="672"/>
      <c r="HOJ33" s="672"/>
      <c r="HOK33" s="672"/>
      <c r="HOL33" s="672"/>
      <c r="HOM33" s="672"/>
      <c r="HON33" s="672"/>
      <c r="HOO33" s="672"/>
      <c r="HOP33" s="672"/>
      <c r="HOQ33" s="672"/>
      <c r="HOR33" s="672"/>
      <c r="HOS33" s="672"/>
      <c r="HOT33" s="672"/>
      <c r="HOU33" s="672"/>
      <c r="HOV33" s="672"/>
      <c r="HOW33" s="672"/>
      <c r="HOX33" s="672"/>
      <c r="HOY33" s="672"/>
      <c r="HOZ33" s="672"/>
      <c r="HPA33" s="672"/>
      <c r="HPB33" s="672"/>
      <c r="HPC33" s="672"/>
      <c r="HPD33" s="672"/>
      <c r="HPE33" s="672"/>
      <c r="HPF33" s="672"/>
      <c r="HPG33" s="672"/>
      <c r="HPH33" s="672"/>
      <c r="HPI33" s="672"/>
      <c r="HPJ33" s="672"/>
      <c r="HPK33" s="672"/>
      <c r="HPL33" s="672"/>
      <c r="HPM33" s="672"/>
      <c r="HPN33" s="672"/>
      <c r="HPO33" s="672"/>
      <c r="HPP33" s="672"/>
      <c r="HPQ33" s="672"/>
      <c r="HPR33" s="672"/>
      <c r="HPS33" s="672"/>
      <c r="HPT33" s="672"/>
      <c r="HPU33" s="672"/>
      <c r="HPV33" s="672"/>
      <c r="HPW33" s="672"/>
      <c r="HPX33" s="672"/>
      <c r="HPY33" s="672"/>
      <c r="HPZ33" s="672"/>
      <c r="HQA33" s="672"/>
      <c r="HQB33" s="672"/>
      <c r="HQC33" s="672"/>
      <c r="HQD33" s="672"/>
      <c r="HQE33" s="672"/>
      <c r="HQF33" s="672"/>
      <c r="HQG33" s="672"/>
      <c r="HQH33" s="672"/>
      <c r="HQI33" s="672"/>
      <c r="HQJ33" s="672"/>
      <c r="HQK33" s="672"/>
      <c r="HQL33" s="672"/>
      <c r="HQM33" s="672"/>
      <c r="HQN33" s="672"/>
      <c r="HQO33" s="672"/>
      <c r="HQP33" s="672"/>
      <c r="HQQ33" s="672"/>
      <c r="HQR33" s="672"/>
      <c r="HQS33" s="672"/>
      <c r="HQT33" s="672"/>
      <c r="HQU33" s="672"/>
      <c r="HQV33" s="672"/>
      <c r="HQW33" s="672"/>
      <c r="HQX33" s="672"/>
      <c r="HQY33" s="672"/>
      <c r="HQZ33" s="672"/>
      <c r="HRA33" s="672"/>
      <c r="HRB33" s="672"/>
      <c r="HRC33" s="672"/>
      <c r="HRD33" s="672"/>
      <c r="HRE33" s="672"/>
      <c r="HRF33" s="672"/>
      <c r="HRG33" s="672"/>
      <c r="HRH33" s="672"/>
      <c r="HRI33" s="672"/>
      <c r="HRJ33" s="672"/>
      <c r="HRK33" s="672"/>
      <c r="HRL33" s="672"/>
      <c r="HRM33" s="672"/>
      <c r="HRN33" s="672"/>
      <c r="HRO33" s="672"/>
      <c r="HRP33" s="672"/>
      <c r="HRQ33" s="672"/>
      <c r="HRR33" s="672"/>
      <c r="HRS33" s="672"/>
      <c r="HRT33" s="672"/>
      <c r="HRU33" s="672"/>
      <c r="HRV33" s="672"/>
      <c r="HRW33" s="672"/>
      <c r="HRX33" s="672"/>
      <c r="HRY33" s="672"/>
      <c r="HRZ33" s="672"/>
      <c r="HSA33" s="672"/>
      <c r="HSB33" s="672"/>
      <c r="HSC33" s="672"/>
      <c r="HSD33" s="672"/>
      <c r="HSE33" s="672"/>
      <c r="HSF33" s="672"/>
      <c r="HSG33" s="672"/>
      <c r="HSH33" s="672"/>
      <c r="HSI33" s="672"/>
      <c r="HSJ33" s="672"/>
      <c r="HSK33" s="672"/>
      <c r="HSL33" s="672"/>
      <c r="HSM33" s="672"/>
      <c r="HSN33" s="672"/>
      <c r="HSO33" s="672"/>
      <c r="HSP33" s="672"/>
      <c r="HSQ33" s="672"/>
      <c r="HSR33" s="672"/>
      <c r="HSS33" s="672"/>
      <c r="HST33" s="672"/>
      <c r="HSU33" s="672"/>
      <c r="HSV33" s="672"/>
      <c r="HSW33" s="672"/>
      <c r="HSX33" s="672"/>
      <c r="HSY33" s="672"/>
      <c r="HSZ33" s="672"/>
      <c r="HTA33" s="672"/>
      <c r="HTB33" s="672"/>
      <c r="HTC33" s="672"/>
      <c r="HTD33" s="672"/>
      <c r="HTE33" s="672"/>
      <c r="HTF33" s="672"/>
      <c r="HTG33" s="672"/>
      <c r="HTH33" s="672"/>
      <c r="HTI33" s="672"/>
      <c r="HTJ33" s="672"/>
      <c r="HTK33" s="672"/>
      <c r="HTL33" s="672"/>
      <c r="HTM33" s="672"/>
      <c r="HTN33" s="672"/>
      <c r="HTO33" s="672"/>
      <c r="HTP33" s="672"/>
      <c r="HTQ33" s="672"/>
      <c r="HTR33" s="672"/>
      <c r="HTS33" s="672"/>
      <c r="HTT33" s="672"/>
      <c r="HTU33" s="672"/>
      <c r="HTV33" s="672"/>
      <c r="HTW33" s="672"/>
      <c r="HTX33" s="672"/>
      <c r="HTY33" s="672"/>
      <c r="HTZ33" s="672"/>
      <c r="HUA33" s="672"/>
      <c r="HUB33" s="672"/>
      <c r="HUC33" s="672"/>
      <c r="HUD33" s="672"/>
      <c r="HUE33" s="672"/>
      <c r="HUF33" s="672"/>
      <c r="HUG33" s="672"/>
      <c r="HUH33" s="672"/>
      <c r="HUI33" s="672"/>
      <c r="HUJ33" s="672"/>
      <c r="HUK33" s="672"/>
      <c r="HUL33" s="672"/>
      <c r="HUM33" s="672"/>
      <c r="HUN33" s="672"/>
      <c r="HUO33" s="672"/>
      <c r="HUP33" s="672"/>
      <c r="HUQ33" s="672"/>
      <c r="HUR33" s="672"/>
      <c r="HUS33" s="672"/>
      <c r="HUT33" s="672"/>
      <c r="HUU33" s="672"/>
      <c r="HUV33" s="672"/>
      <c r="HUW33" s="672"/>
      <c r="HUX33" s="672"/>
      <c r="HUY33" s="672"/>
      <c r="HUZ33" s="672"/>
      <c r="HVA33" s="672"/>
      <c r="HVB33" s="672"/>
      <c r="HVC33" s="672"/>
      <c r="HVD33" s="672"/>
      <c r="HVE33" s="672"/>
      <c r="HVF33" s="672"/>
      <c r="HVG33" s="672"/>
      <c r="HVH33" s="672"/>
      <c r="HVI33" s="672"/>
      <c r="HVJ33" s="672"/>
      <c r="HVK33" s="672"/>
      <c r="HVL33" s="672"/>
      <c r="HVM33" s="672"/>
      <c r="HVN33" s="672"/>
      <c r="HVO33" s="672"/>
      <c r="HVP33" s="672"/>
      <c r="HVQ33" s="672"/>
      <c r="HVR33" s="672"/>
      <c r="HVS33" s="672"/>
      <c r="HVT33" s="672"/>
      <c r="HVU33" s="672"/>
      <c r="HVV33" s="672"/>
      <c r="HVW33" s="672"/>
      <c r="HVX33" s="672"/>
      <c r="HVY33" s="672"/>
      <c r="HVZ33" s="672"/>
      <c r="HWA33" s="672"/>
      <c r="HWB33" s="672"/>
      <c r="HWC33" s="672"/>
      <c r="HWD33" s="672"/>
      <c r="HWE33" s="672"/>
      <c r="HWF33" s="672"/>
      <c r="HWG33" s="672"/>
      <c r="HWH33" s="672"/>
      <c r="HWI33" s="672"/>
      <c r="HWJ33" s="672"/>
      <c r="HWK33" s="672"/>
      <c r="HWL33" s="672"/>
      <c r="HWM33" s="672"/>
      <c r="HWN33" s="672"/>
      <c r="HWO33" s="672"/>
      <c r="HWP33" s="672"/>
      <c r="HWQ33" s="672"/>
      <c r="HWR33" s="672"/>
      <c r="HWS33" s="672"/>
      <c r="HWT33" s="672"/>
      <c r="HWU33" s="672"/>
      <c r="HWV33" s="672"/>
      <c r="HWW33" s="672"/>
      <c r="HWX33" s="672"/>
      <c r="HWY33" s="672"/>
      <c r="HWZ33" s="672"/>
      <c r="HXA33" s="672"/>
      <c r="HXB33" s="672"/>
      <c r="HXC33" s="672"/>
      <c r="HXD33" s="672"/>
      <c r="HXE33" s="672"/>
      <c r="HXF33" s="672"/>
      <c r="HXG33" s="672"/>
      <c r="HXH33" s="672"/>
      <c r="HXI33" s="672"/>
      <c r="HXJ33" s="672"/>
      <c r="HXK33" s="672"/>
      <c r="HXL33" s="672"/>
      <c r="HXM33" s="672"/>
      <c r="HXN33" s="672"/>
      <c r="HXO33" s="672"/>
      <c r="HXP33" s="672"/>
      <c r="HXQ33" s="672"/>
      <c r="HXR33" s="672"/>
      <c r="HXS33" s="672"/>
      <c r="HXT33" s="672"/>
      <c r="HXU33" s="672"/>
      <c r="HXV33" s="672"/>
      <c r="HXW33" s="672"/>
      <c r="HXX33" s="672"/>
      <c r="HXY33" s="672"/>
      <c r="HXZ33" s="672"/>
      <c r="HYA33" s="672"/>
      <c r="HYB33" s="672"/>
      <c r="HYC33" s="672"/>
      <c r="HYD33" s="672"/>
      <c r="HYE33" s="672"/>
      <c r="HYF33" s="672"/>
      <c r="HYG33" s="672"/>
      <c r="HYH33" s="672"/>
      <c r="HYI33" s="672"/>
      <c r="HYJ33" s="672"/>
      <c r="HYK33" s="672"/>
      <c r="HYL33" s="672"/>
      <c r="HYM33" s="672"/>
      <c r="HYN33" s="672"/>
      <c r="HYO33" s="672"/>
      <c r="HYP33" s="672"/>
      <c r="HYQ33" s="672"/>
      <c r="HYR33" s="672"/>
      <c r="HYS33" s="672"/>
      <c r="HYT33" s="672"/>
      <c r="HYU33" s="672"/>
      <c r="HYV33" s="672"/>
      <c r="HYW33" s="672"/>
      <c r="HYX33" s="672"/>
      <c r="HYY33" s="672"/>
      <c r="HYZ33" s="672"/>
      <c r="HZA33" s="672"/>
      <c r="HZB33" s="672"/>
      <c r="HZC33" s="672"/>
      <c r="HZD33" s="672"/>
      <c r="HZE33" s="672"/>
      <c r="HZF33" s="672"/>
      <c r="HZG33" s="672"/>
      <c r="HZH33" s="672"/>
      <c r="HZI33" s="672"/>
      <c r="HZJ33" s="672"/>
      <c r="HZK33" s="672"/>
      <c r="HZL33" s="672"/>
      <c r="HZM33" s="672"/>
      <c r="HZN33" s="672"/>
      <c r="HZO33" s="672"/>
      <c r="HZP33" s="672"/>
      <c r="HZQ33" s="672"/>
      <c r="HZR33" s="672"/>
      <c r="HZS33" s="672"/>
      <c r="HZT33" s="672"/>
      <c r="HZU33" s="672"/>
      <c r="HZV33" s="672"/>
      <c r="HZW33" s="672"/>
      <c r="HZX33" s="672"/>
      <c r="HZY33" s="672"/>
      <c r="HZZ33" s="672"/>
      <c r="IAA33" s="672"/>
      <c r="IAB33" s="672"/>
      <c r="IAC33" s="672"/>
      <c r="IAD33" s="672"/>
      <c r="IAE33" s="672"/>
      <c r="IAF33" s="672"/>
      <c r="IAG33" s="672"/>
      <c r="IAH33" s="672"/>
      <c r="IAI33" s="672"/>
      <c r="IAJ33" s="672"/>
      <c r="IAK33" s="672"/>
      <c r="IAL33" s="672"/>
      <c r="IAM33" s="672"/>
      <c r="IAN33" s="672"/>
      <c r="IAO33" s="672"/>
      <c r="IAP33" s="672"/>
      <c r="IAQ33" s="672"/>
      <c r="IAR33" s="672"/>
      <c r="IAS33" s="672"/>
      <c r="IAT33" s="672"/>
      <c r="IAU33" s="672"/>
      <c r="IAV33" s="672"/>
      <c r="IAW33" s="672"/>
      <c r="IAX33" s="672"/>
      <c r="IAY33" s="672"/>
      <c r="IAZ33" s="672"/>
      <c r="IBA33" s="672"/>
      <c r="IBB33" s="672"/>
      <c r="IBC33" s="672"/>
      <c r="IBD33" s="672"/>
      <c r="IBE33" s="672"/>
      <c r="IBF33" s="672"/>
      <c r="IBG33" s="672"/>
      <c r="IBH33" s="672"/>
      <c r="IBI33" s="672"/>
      <c r="IBJ33" s="672"/>
      <c r="IBK33" s="672"/>
      <c r="IBL33" s="672"/>
      <c r="IBM33" s="672"/>
      <c r="IBN33" s="672"/>
      <c r="IBO33" s="672"/>
      <c r="IBP33" s="672"/>
      <c r="IBQ33" s="672"/>
      <c r="IBR33" s="672"/>
      <c r="IBS33" s="672"/>
      <c r="IBT33" s="672"/>
      <c r="IBU33" s="672"/>
      <c r="IBV33" s="672"/>
      <c r="IBW33" s="672"/>
      <c r="IBX33" s="672"/>
      <c r="IBY33" s="672"/>
      <c r="IBZ33" s="672"/>
      <c r="ICA33" s="672"/>
      <c r="ICB33" s="672"/>
      <c r="ICC33" s="672"/>
      <c r="ICD33" s="672"/>
      <c r="ICE33" s="672"/>
      <c r="ICF33" s="672"/>
      <c r="ICG33" s="672"/>
      <c r="ICH33" s="672"/>
      <c r="ICI33" s="672"/>
      <c r="ICJ33" s="672"/>
      <c r="ICK33" s="672"/>
      <c r="ICL33" s="672"/>
      <c r="ICM33" s="672"/>
      <c r="ICN33" s="672"/>
      <c r="ICO33" s="672"/>
      <c r="ICP33" s="672"/>
      <c r="ICQ33" s="672"/>
      <c r="ICR33" s="672"/>
      <c r="ICS33" s="672"/>
      <c r="ICT33" s="672"/>
      <c r="ICU33" s="672"/>
      <c r="ICV33" s="672"/>
      <c r="ICW33" s="672"/>
      <c r="ICX33" s="672"/>
      <c r="ICY33" s="672"/>
      <c r="ICZ33" s="672"/>
      <c r="IDA33" s="672"/>
      <c r="IDB33" s="672"/>
      <c r="IDC33" s="672"/>
      <c r="IDD33" s="672"/>
      <c r="IDE33" s="672"/>
      <c r="IDF33" s="672"/>
      <c r="IDG33" s="672"/>
      <c r="IDH33" s="672"/>
      <c r="IDI33" s="672"/>
      <c r="IDJ33" s="672"/>
      <c r="IDK33" s="672"/>
      <c r="IDL33" s="672"/>
      <c r="IDM33" s="672"/>
      <c r="IDN33" s="672"/>
      <c r="IDO33" s="672"/>
      <c r="IDP33" s="672"/>
      <c r="IDQ33" s="672"/>
      <c r="IDR33" s="672"/>
      <c r="IDS33" s="672"/>
      <c r="IDT33" s="672"/>
      <c r="IDU33" s="672"/>
      <c r="IDV33" s="672"/>
      <c r="IDW33" s="672"/>
      <c r="IDX33" s="672"/>
      <c r="IDY33" s="672"/>
      <c r="IDZ33" s="672"/>
      <c r="IEA33" s="672"/>
      <c r="IEB33" s="672"/>
      <c r="IEC33" s="672"/>
      <c r="IED33" s="672"/>
      <c r="IEE33" s="672"/>
      <c r="IEF33" s="672"/>
      <c r="IEG33" s="672"/>
      <c r="IEH33" s="672"/>
      <c r="IEI33" s="672"/>
      <c r="IEJ33" s="672"/>
      <c r="IEK33" s="672"/>
      <c r="IEL33" s="672"/>
      <c r="IEM33" s="672"/>
      <c r="IEN33" s="672"/>
      <c r="IEO33" s="672"/>
      <c r="IEP33" s="672"/>
      <c r="IEQ33" s="672"/>
      <c r="IER33" s="672"/>
      <c r="IES33" s="672"/>
      <c r="IET33" s="672"/>
      <c r="IEU33" s="672"/>
      <c r="IEV33" s="672"/>
      <c r="IEW33" s="672"/>
      <c r="IEX33" s="672"/>
      <c r="IEY33" s="672"/>
      <c r="IEZ33" s="672"/>
      <c r="IFA33" s="672"/>
      <c r="IFB33" s="672"/>
      <c r="IFC33" s="672"/>
      <c r="IFD33" s="672"/>
      <c r="IFE33" s="672"/>
      <c r="IFF33" s="672"/>
      <c r="IFG33" s="672"/>
      <c r="IFH33" s="672"/>
      <c r="IFI33" s="672"/>
      <c r="IFJ33" s="672"/>
      <c r="IFK33" s="672"/>
      <c r="IFL33" s="672"/>
      <c r="IFM33" s="672"/>
      <c r="IFN33" s="672"/>
      <c r="IFO33" s="672"/>
      <c r="IFP33" s="672"/>
      <c r="IFQ33" s="672"/>
      <c r="IFR33" s="672"/>
      <c r="IFS33" s="672"/>
      <c r="IFT33" s="672"/>
      <c r="IFU33" s="672"/>
      <c r="IFV33" s="672"/>
      <c r="IFW33" s="672"/>
      <c r="IFX33" s="672"/>
      <c r="IFY33" s="672"/>
      <c r="IFZ33" s="672"/>
      <c r="IGA33" s="672"/>
      <c r="IGB33" s="672"/>
      <c r="IGC33" s="672"/>
      <c r="IGD33" s="672"/>
      <c r="IGE33" s="672"/>
      <c r="IGF33" s="672"/>
      <c r="IGG33" s="672"/>
      <c r="IGH33" s="672"/>
      <c r="IGI33" s="672"/>
      <c r="IGJ33" s="672"/>
      <c r="IGK33" s="672"/>
      <c r="IGL33" s="672"/>
      <c r="IGM33" s="672"/>
      <c r="IGN33" s="672"/>
      <c r="IGO33" s="672"/>
      <c r="IGP33" s="672"/>
      <c r="IGQ33" s="672"/>
      <c r="IGR33" s="672"/>
      <c r="IGS33" s="672"/>
      <c r="IGT33" s="672"/>
      <c r="IGU33" s="672"/>
      <c r="IGV33" s="672"/>
      <c r="IGW33" s="672"/>
      <c r="IGX33" s="672"/>
      <c r="IGY33" s="672"/>
      <c r="IGZ33" s="672"/>
      <c r="IHA33" s="672"/>
      <c r="IHB33" s="672"/>
      <c r="IHC33" s="672"/>
      <c r="IHD33" s="672"/>
      <c r="IHE33" s="672"/>
      <c r="IHF33" s="672"/>
      <c r="IHG33" s="672"/>
      <c r="IHH33" s="672"/>
      <c r="IHI33" s="672"/>
      <c r="IHJ33" s="672"/>
      <c r="IHK33" s="672"/>
      <c r="IHL33" s="672"/>
      <c r="IHM33" s="672"/>
      <c r="IHN33" s="672"/>
      <c r="IHO33" s="672"/>
      <c r="IHP33" s="672"/>
      <c r="IHQ33" s="672"/>
      <c r="IHR33" s="672"/>
      <c r="IHS33" s="672"/>
      <c r="IHT33" s="672"/>
      <c r="IHU33" s="672"/>
      <c r="IHV33" s="672"/>
      <c r="IHW33" s="672"/>
      <c r="IHX33" s="672"/>
      <c r="IHY33" s="672"/>
      <c r="IHZ33" s="672"/>
      <c r="IIA33" s="672"/>
      <c r="IIB33" s="672"/>
      <c r="IIC33" s="672"/>
      <c r="IID33" s="672"/>
      <c r="IIE33" s="672"/>
      <c r="IIF33" s="672"/>
      <c r="IIG33" s="672"/>
      <c r="IIH33" s="672"/>
      <c r="III33" s="672"/>
      <c r="IIJ33" s="672"/>
      <c r="IIK33" s="672"/>
      <c r="IIL33" s="672"/>
      <c r="IIM33" s="672"/>
      <c r="IIN33" s="672"/>
      <c r="IIO33" s="672"/>
      <c r="IIP33" s="672"/>
      <c r="IIQ33" s="672"/>
      <c r="IIR33" s="672"/>
      <c r="IIS33" s="672"/>
      <c r="IIT33" s="672"/>
      <c r="IIU33" s="672"/>
      <c r="IIV33" s="672"/>
      <c r="IIW33" s="672"/>
      <c r="IIX33" s="672"/>
      <c r="IIY33" s="672"/>
      <c r="IIZ33" s="672"/>
      <c r="IJA33" s="672"/>
      <c r="IJB33" s="672"/>
      <c r="IJC33" s="672"/>
      <c r="IJD33" s="672"/>
      <c r="IJE33" s="672"/>
      <c r="IJF33" s="672"/>
      <c r="IJG33" s="672"/>
      <c r="IJH33" s="672"/>
      <c r="IJI33" s="672"/>
      <c r="IJJ33" s="672"/>
      <c r="IJK33" s="672"/>
      <c r="IJL33" s="672"/>
      <c r="IJM33" s="672"/>
      <c r="IJN33" s="672"/>
      <c r="IJO33" s="672"/>
      <c r="IJP33" s="672"/>
      <c r="IJQ33" s="672"/>
      <c r="IJR33" s="672"/>
      <c r="IJS33" s="672"/>
      <c r="IJT33" s="672"/>
      <c r="IJU33" s="672"/>
      <c r="IJV33" s="672"/>
      <c r="IJW33" s="672"/>
      <c r="IJX33" s="672"/>
      <c r="IJY33" s="672"/>
      <c r="IJZ33" s="672"/>
      <c r="IKA33" s="672"/>
      <c r="IKB33" s="672"/>
      <c r="IKC33" s="672"/>
      <c r="IKD33" s="672"/>
      <c r="IKE33" s="672"/>
      <c r="IKF33" s="672"/>
      <c r="IKG33" s="672"/>
      <c r="IKH33" s="672"/>
      <c r="IKI33" s="672"/>
      <c r="IKJ33" s="672"/>
      <c r="IKK33" s="672"/>
      <c r="IKL33" s="672"/>
      <c r="IKM33" s="672"/>
      <c r="IKN33" s="672"/>
      <c r="IKO33" s="672"/>
      <c r="IKP33" s="672"/>
      <c r="IKQ33" s="672"/>
      <c r="IKR33" s="672"/>
      <c r="IKS33" s="672"/>
      <c r="IKT33" s="672"/>
      <c r="IKU33" s="672"/>
      <c r="IKV33" s="672"/>
      <c r="IKW33" s="672"/>
      <c r="IKX33" s="672"/>
      <c r="IKY33" s="672"/>
      <c r="IKZ33" s="672"/>
      <c r="ILA33" s="672"/>
      <c r="ILB33" s="672"/>
      <c r="ILC33" s="672"/>
      <c r="ILD33" s="672"/>
      <c r="ILE33" s="672"/>
      <c r="ILF33" s="672"/>
      <c r="ILG33" s="672"/>
      <c r="ILH33" s="672"/>
      <c r="ILI33" s="672"/>
      <c r="ILJ33" s="672"/>
      <c r="ILK33" s="672"/>
      <c r="ILL33" s="672"/>
      <c r="ILM33" s="672"/>
      <c r="ILN33" s="672"/>
      <c r="ILO33" s="672"/>
      <c r="ILP33" s="672"/>
      <c r="ILQ33" s="672"/>
      <c r="ILR33" s="672"/>
      <c r="ILS33" s="672"/>
      <c r="ILT33" s="672"/>
      <c r="ILU33" s="672"/>
      <c r="ILV33" s="672"/>
      <c r="ILW33" s="672"/>
      <c r="ILX33" s="672"/>
      <c r="ILY33" s="672"/>
      <c r="ILZ33" s="672"/>
      <c r="IMA33" s="672"/>
      <c r="IMB33" s="672"/>
      <c r="IMC33" s="672"/>
      <c r="IMD33" s="672"/>
      <c r="IME33" s="672"/>
      <c r="IMF33" s="672"/>
      <c r="IMG33" s="672"/>
      <c r="IMH33" s="672"/>
      <c r="IMI33" s="672"/>
      <c r="IMJ33" s="672"/>
      <c r="IMK33" s="672"/>
      <c r="IML33" s="672"/>
      <c r="IMM33" s="672"/>
      <c r="IMN33" s="672"/>
      <c r="IMO33" s="672"/>
      <c r="IMP33" s="672"/>
      <c r="IMQ33" s="672"/>
      <c r="IMR33" s="672"/>
      <c r="IMS33" s="672"/>
      <c r="IMT33" s="672"/>
      <c r="IMU33" s="672"/>
      <c r="IMV33" s="672"/>
      <c r="IMW33" s="672"/>
      <c r="IMX33" s="672"/>
      <c r="IMY33" s="672"/>
      <c r="IMZ33" s="672"/>
      <c r="INA33" s="672"/>
      <c r="INB33" s="672"/>
      <c r="INC33" s="672"/>
      <c r="IND33" s="672"/>
      <c r="INE33" s="672"/>
      <c r="INF33" s="672"/>
      <c r="ING33" s="672"/>
      <c r="INH33" s="672"/>
      <c r="INI33" s="672"/>
      <c r="INJ33" s="672"/>
      <c r="INK33" s="672"/>
      <c r="INL33" s="672"/>
      <c r="INM33" s="672"/>
      <c r="INN33" s="672"/>
      <c r="INO33" s="672"/>
      <c r="INP33" s="672"/>
      <c r="INQ33" s="672"/>
      <c r="INR33" s="672"/>
      <c r="INS33" s="672"/>
      <c r="INT33" s="672"/>
      <c r="INU33" s="672"/>
      <c r="INV33" s="672"/>
      <c r="INW33" s="672"/>
      <c r="INX33" s="672"/>
      <c r="INY33" s="672"/>
      <c r="INZ33" s="672"/>
      <c r="IOA33" s="672"/>
      <c r="IOB33" s="672"/>
      <c r="IOC33" s="672"/>
      <c r="IOD33" s="672"/>
      <c r="IOE33" s="672"/>
      <c r="IOF33" s="672"/>
      <c r="IOG33" s="672"/>
      <c r="IOH33" s="672"/>
      <c r="IOI33" s="672"/>
      <c r="IOJ33" s="672"/>
      <c r="IOK33" s="672"/>
      <c r="IOL33" s="672"/>
      <c r="IOM33" s="672"/>
      <c r="ION33" s="672"/>
      <c r="IOO33" s="672"/>
      <c r="IOP33" s="672"/>
      <c r="IOQ33" s="672"/>
      <c r="IOR33" s="672"/>
      <c r="IOS33" s="672"/>
      <c r="IOT33" s="672"/>
      <c r="IOU33" s="672"/>
      <c r="IOV33" s="672"/>
      <c r="IOW33" s="672"/>
      <c r="IOX33" s="672"/>
      <c r="IOY33" s="672"/>
      <c r="IOZ33" s="672"/>
      <c r="IPA33" s="672"/>
      <c r="IPB33" s="672"/>
      <c r="IPC33" s="672"/>
      <c r="IPD33" s="672"/>
      <c r="IPE33" s="672"/>
      <c r="IPF33" s="672"/>
      <c r="IPG33" s="672"/>
      <c r="IPH33" s="672"/>
      <c r="IPI33" s="672"/>
      <c r="IPJ33" s="672"/>
      <c r="IPK33" s="672"/>
      <c r="IPL33" s="672"/>
      <c r="IPM33" s="672"/>
      <c r="IPN33" s="672"/>
      <c r="IPO33" s="672"/>
      <c r="IPP33" s="672"/>
      <c r="IPQ33" s="672"/>
      <c r="IPR33" s="672"/>
      <c r="IPS33" s="672"/>
      <c r="IPT33" s="672"/>
      <c r="IPU33" s="672"/>
      <c r="IPV33" s="672"/>
      <c r="IPW33" s="672"/>
      <c r="IPX33" s="672"/>
      <c r="IPY33" s="672"/>
      <c r="IPZ33" s="672"/>
      <c r="IQA33" s="672"/>
      <c r="IQB33" s="672"/>
      <c r="IQC33" s="672"/>
      <c r="IQD33" s="672"/>
      <c r="IQE33" s="672"/>
      <c r="IQF33" s="672"/>
      <c r="IQG33" s="672"/>
      <c r="IQH33" s="672"/>
      <c r="IQI33" s="672"/>
      <c r="IQJ33" s="672"/>
      <c r="IQK33" s="672"/>
      <c r="IQL33" s="672"/>
      <c r="IQM33" s="672"/>
      <c r="IQN33" s="672"/>
      <c r="IQO33" s="672"/>
      <c r="IQP33" s="672"/>
      <c r="IQQ33" s="672"/>
      <c r="IQR33" s="672"/>
      <c r="IQS33" s="672"/>
      <c r="IQT33" s="672"/>
      <c r="IQU33" s="672"/>
      <c r="IQV33" s="672"/>
      <c r="IQW33" s="672"/>
      <c r="IQX33" s="672"/>
      <c r="IQY33" s="672"/>
      <c r="IQZ33" s="672"/>
      <c r="IRA33" s="672"/>
      <c r="IRB33" s="672"/>
      <c r="IRC33" s="672"/>
      <c r="IRD33" s="672"/>
      <c r="IRE33" s="672"/>
      <c r="IRF33" s="672"/>
      <c r="IRG33" s="672"/>
      <c r="IRH33" s="672"/>
      <c r="IRI33" s="672"/>
      <c r="IRJ33" s="672"/>
      <c r="IRK33" s="672"/>
      <c r="IRL33" s="672"/>
      <c r="IRM33" s="672"/>
      <c r="IRN33" s="672"/>
      <c r="IRO33" s="672"/>
      <c r="IRP33" s="672"/>
      <c r="IRQ33" s="672"/>
      <c r="IRR33" s="672"/>
      <c r="IRS33" s="672"/>
      <c r="IRT33" s="672"/>
      <c r="IRU33" s="672"/>
      <c r="IRV33" s="672"/>
      <c r="IRW33" s="672"/>
      <c r="IRX33" s="672"/>
      <c r="IRY33" s="672"/>
      <c r="IRZ33" s="672"/>
      <c r="ISA33" s="672"/>
      <c r="ISB33" s="672"/>
      <c r="ISC33" s="672"/>
      <c r="ISD33" s="672"/>
      <c r="ISE33" s="672"/>
      <c r="ISF33" s="672"/>
      <c r="ISG33" s="672"/>
      <c r="ISH33" s="672"/>
      <c r="ISI33" s="672"/>
      <c r="ISJ33" s="672"/>
      <c r="ISK33" s="672"/>
      <c r="ISL33" s="672"/>
      <c r="ISM33" s="672"/>
      <c r="ISN33" s="672"/>
      <c r="ISO33" s="672"/>
      <c r="ISP33" s="672"/>
      <c r="ISQ33" s="672"/>
      <c r="ISR33" s="672"/>
      <c r="ISS33" s="672"/>
      <c r="IST33" s="672"/>
      <c r="ISU33" s="672"/>
      <c r="ISV33" s="672"/>
      <c r="ISW33" s="672"/>
      <c r="ISX33" s="672"/>
      <c r="ISY33" s="672"/>
      <c r="ISZ33" s="672"/>
      <c r="ITA33" s="672"/>
      <c r="ITB33" s="672"/>
      <c r="ITC33" s="672"/>
      <c r="ITD33" s="672"/>
      <c r="ITE33" s="672"/>
      <c r="ITF33" s="672"/>
      <c r="ITG33" s="672"/>
      <c r="ITH33" s="672"/>
      <c r="ITI33" s="672"/>
      <c r="ITJ33" s="672"/>
      <c r="ITK33" s="672"/>
      <c r="ITL33" s="672"/>
      <c r="ITM33" s="672"/>
      <c r="ITN33" s="672"/>
      <c r="ITO33" s="672"/>
      <c r="ITP33" s="672"/>
      <c r="ITQ33" s="672"/>
      <c r="ITR33" s="672"/>
      <c r="ITS33" s="672"/>
      <c r="ITT33" s="672"/>
      <c r="ITU33" s="672"/>
      <c r="ITV33" s="672"/>
      <c r="ITW33" s="672"/>
      <c r="ITX33" s="672"/>
      <c r="ITY33" s="672"/>
      <c r="ITZ33" s="672"/>
      <c r="IUA33" s="672"/>
      <c r="IUB33" s="672"/>
      <c r="IUC33" s="672"/>
      <c r="IUD33" s="672"/>
      <c r="IUE33" s="672"/>
      <c r="IUF33" s="672"/>
      <c r="IUG33" s="672"/>
      <c r="IUH33" s="672"/>
      <c r="IUI33" s="672"/>
      <c r="IUJ33" s="672"/>
      <c r="IUK33" s="672"/>
      <c r="IUL33" s="672"/>
      <c r="IUM33" s="672"/>
      <c r="IUN33" s="672"/>
      <c r="IUO33" s="672"/>
      <c r="IUP33" s="672"/>
      <c r="IUQ33" s="672"/>
      <c r="IUR33" s="672"/>
      <c r="IUS33" s="672"/>
      <c r="IUT33" s="672"/>
      <c r="IUU33" s="672"/>
      <c r="IUV33" s="672"/>
      <c r="IUW33" s="672"/>
      <c r="IUX33" s="672"/>
      <c r="IUY33" s="672"/>
      <c r="IUZ33" s="672"/>
      <c r="IVA33" s="672"/>
      <c r="IVB33" s="672"/>
      <c r="IVC33" s="672"/>
      <c r="IVD33" s="672"/>
      <c r="IVE33" s="672"/>
      <c r="IVF33" s="672"/>
      <c r="IVG33" s="672"/>
      <c r="IVH33" s="672"/>
      <c r="IVI33" s="672"/>
      <c r="IVJ33" s="672"/>
      <c r="IVK33" s="672"/>
      <c r="IVL33" s="672"/>
      <c r="IVM33" s="672"/>
      <c r="IVN33" s="672"/>
      <c r="IVO33" s="672"/>
      <c r="IVP33" s="672"/>
      <c r="IVQ33" s="672"/>
      <c r="IVR33" s="672"/>
      <c r="IVS33" s="672"/>
      <c r="IVT33" s="672"/>
      <c r="IVU33" s="672"/>
      <c r="IVV33" s="672"/>
      <c r="IVW33" s="672"/>
      <c r="IVX33" s="672"/>
      <c r="IVY33" s="672"/>
      <c r="IVZ33" s="672"/>
      <c r="IWA33" s="672"/>
      <c r="IWB33" s="672"/>
      <c r="IWC33" s="672"/>
      <c r="IWD33" s="672"/>
      <c r="IWE33" s="672"/>
      <c r="IWF33" s="672"/>
      <c r="IWG33" s="672"/>
      <c r="IWH33" s="672"/>
      <c r="IWI33" s="672"/>
      <c r="IWJ33" s="672"/>
      <c r="IWK33" s="672"/>
      <c r="IWL33" s="672"/>
      <c r="IWM33" s="672"/>
      <c r="IWN33" s="672"/>
      <c r="IWO33" s="672"/>
      <c r="IWP33" s="672"/>
      <c r="IWQ33" s="672"/>
      <c r="IWR33" s="672"/>
      <c r="IWS33" s="672"/>
      <c r="IWT33" s="672"/>
      <c r="IWU33" s="672"/>
      <c r="IWV33" s="672"/>
      <c r="IWW33" s="672"/>
      <c r="IWX33" s="672"/>
      <c r="IWY33" s="672"/>
      <c r="IWZ33" s="672"/>
      <c r="IXA33" s="672"/>
      <c r="IXB33" s="672"/>
      <c r="IXC33" s="672"/>
      <c r="IXD33" s="672"/>
      <c r="IXE33" s="672"/>
      <c r="IXF33" s="672"/>
      <c r="IXG33" s="672"/>
      <c r="IXH33" s="672"/>
      <c r="IXI33" s="672"/>
      <c r="IXJ33" s="672"/>
      <c r="IXK33" s="672"/>
      <c r="IXL33" s="672"/>
      <c r="IXM33" s="672"/>
      <c r="IXN33" s="672"/>
      <c r="IXO33" s="672"/>
      <c r="IXP33" s="672"/>
      <c r="IXQ33" s="672"/>
      <c r="IXR33" s="672"/>
      <c r="IXS33" s="672"/>
      <c r="IXT33" s="672"/>
      <c r="IXU33" s="672"/>
      <c r="IXV33" s="672"/>
      <c r="IXW33" s="672"/>
      <c r="IXX33" s="672"/>
      <c r="IXY33" s="672"/>
      <c r="IXZ33" s="672"/>
      <c r="IYA33" s="672"/>
      <c r="IYB33" s="672"/>
      <c r="IYC33" s="672"/>
      <c r="IYD33" s="672"/>
      <c r="IYE33" s="672"/>
      <c r="IYF33" s="672"/>
      <c r="IYG33" s="672"/>
      <c r="IYH33" s="672"/>
      <c r="IYI33" s="672"/>
      <c r="IYJ33" s="672"/>
      <c r="IYK33" s="672"/>
      <c r="IYL33" s="672"/>
      <c r="IYM33" s="672"/>
      <c r="IYN33" s="672"/>
      <c r="IYO33" s="672"/>
      <c r="IYP33" s="672"/>
      <c r="IYQ33" s="672"/>
      <c r="IYR33" s="672"/>
      <c r="IYS33" s="672"/>
      <c r="IYT33" s="672"/>
      <c r="IYU33" s="672"/>
      <c r="IYV33" s="672"/>
      <c r="IYW33" s="672"/>
      <c r="IYX33" s="672"/>
      <c r="IYY33" s="672"/>
      <c r="IYZ33" s="672"/>
      <c r="IZA33" s="672"/>
      <c r="IZB33" s="672"/>
      <c r="IZC33" s="672"/>
      <c r="IZD33" s="672"/>
      <c r="IZE33" s="672"/>
      <c r="IZF33" s="672"/>
      <c r="IZG33" s="672"/>
      <c r="IZH33" s="672"/>
      <c r="IZI33" s="672"/>
      <c r="IZJ33" s="672"/>
      <c r="IZK33" s="672"/>
      <c r="IZL33" s="672"/>
      <c r="IZM33" s="672"/>
      <c r="IZN33" s="672"/>
      <c r="IZO33" s="672"/>
      <c r="IZP33" s="672"/>
      <c r="IZQ33" s="672"/>
      <c r="IZR33" s="672"/>
      <c r="IZS33" s="672"/>
      <c r="IZT33" s="672"/>
      <c r="IZU33" s="672"/>
      <c r="IZV33" s="672"/>
      <c r="IZW33" s="672"/>
      <c r="IZX33" s="672"/>
      <c r="IZY33" s="672"/>
      <c r="IZZ33" s="672"/>
      <c r="JAA33" s="672"/>
      <c r="JAB33" s="672"/>
      <c r="JAC33" s="672"/>
      <c r="JAD33" s="672"/>
      <c r="JAE33" s="672"/>
      <c r="JAF33" s="672"/>
      <c r="JAG33" s="672"/>
      <c r="JAH33" s="672"/>
      <c r="JAI33" s="672"/>
      <c r="JAJ33" s="672"/>
      <c r="JAK33" s="672"/>
      <c r="JAL33" s="672"/>
      <c r="JAM33" s="672"/>
      <c r="JAN33" s="672"/>
      <c r="JAO33" s="672"/>
      <c r="JAP33" s="672"/>
      <c r="JAQ33" s="672"/>
      <c r="JAR33" s="672"/>
      <c r="JAS33" s="672"/>
      <c r="JAT33" s="672"/>
      <c r="JAU33" s="672"/>
      <c r="JAV33" s="672"/>
      <c r="JAW33" s="672"/>
      <c r="JAX33" s="672"/>
      <c r="JAY33" s="672"/>
      <c r="JAZ33" s="672"/>
      <c r="JBA33" s="672"/>
      <c r="JBB33" s="672"/>
      <c r="JBC33" s="672"/>
      <c r="JBD33" s="672"/>
      <c r="JBE33" s="672"/>
      <c r="JBF33" s="672"/>
      <c r="JBG33" s="672"/>
      <c r="JBH33" s="672"/>
      <c r="JBI33" s="672"/>
      <c r="JBJ33" s="672"/>
      <c r="JBK33" s="672"/>
      <c r="JBL33" s="672"/>
      <c r="JBM33" s="672"/>
      <c r="JBN33" s="672"/>
      <c r="JBO33" s="672"/>
      <c r="JBP33" s="672"/>
      <c r="JBQ33" s="672"/>
      <c r="JBR33" s="672"/>
      <c r="JBS33" s="672"/>
      <c r="JBT33" s="672"/>
      <c r="JBU33" s="672"/>
      <c r="JBV33" s="672"/>
      <c r="JBW33" s="672"/>
      <c r="JBX33" s="672"/>
      <c r="JBY33" s="672"/>
      <c r="JBZ33" s="672"/>
      <c r="JCA33" s="672"/>
      <c r="JCB33" s="672"/>
      <c r="JCC33" s="672"/>
      <c r="JCD33" s="672"/>
      <c r="JCE33" s="672"/>
      <c r="JCF33" s="672"/>
      <c r="JCG33" s="672"/>
      <c r="JCH33" s="672"/>
      <c r="JCI33" s="672"/>
      <c r="JCJ33" s="672"/>
      <c r="JCK33" s="672"/>
      <c r="JCL33" s="672"/>
      <c r="JCM33" s="672"/>
      <c r="JCN33" s="672"/>
      <c r="JCO33" s="672"/>
      <c r="JCP33" s="672"/>
      <c r="JCQ33" s="672"/>
      <c r="JCR33" s="672"/>
      <c r="JCS33" s="672"/>
      <c r="JCT33" s="672"/>
      <c r="JCU33" s="672"/>
      <c r="JCV33" s="672"/>
      <c r="JCW33" s="672"/>
      <c r="JCX33" s="672"/>
      <c r="JCY33" s="672"/>
      <c r="JCZ33" s="672"/>
      <c r="JDA33" s="672"/>
      <c r="JDB33" s="672"/>
      <c r="JDC33" s="672"/>
      <c r="JDD33" s="672"/>
      <c r="JDE33" s="672"/>
      <c r="JDF33" s="672"/>
      <c r="JDG33" s="672"/>
      <c r="JDH33" s="672"/>
      <c r="JDI33" s="672"/>
      <c r="JDJ33" s="672"/>
      <c r="JDK33" s="672"/>
      <c r="JDL33" s="672"/>
      <c r="JDM33" s="672"/>
      <c r="JDN33" s="672"/>
      <c r="JDO33" s="672"/>
      <c r="JDP33" s="672"/>
      <c r="JDQ33" s="672"/>
      <c r="JDR33" s="672"/>
      <c r="JDS33" s="672"/>
      <c r="JDT33" s="672"/>
      <c r="JDU33" s="672"/>
      <c r="JDV33" s="672"/>
      <c r="JDW33" s="672"/>
      <c r="JDX33" s="672"/>
      <c r="JDY33" s="672"/>
      <c r="JDZ33" s="672"/>
      <c r="JEA33" s="672"/>
      <c r="JEB33" s="672"/>
      <c r="JEC33" s="672"/>
      <c r="JED33" s="672"/>
      <c r="JEE33" s="672"/>
      <c r="JEF33" s="672"/>
      <c r="JEG33" s="672"/>
      <c r="JEH33" s="672"/>
      <c r="JEI33" s="672"/>
      <c r="JEJ33" s="672"/>
      <c r="JEK33" s="672"/>
      <c r="JEL33" s="672"/>
      <c r="JEM33" s="672"/>
      <c r="JEN33" s="672"/>
      <c r="JEO33" s="672"/>
      <c r="JEP33" s="672"/>
      <c r="JEQ33" s="672"/>
      <c r="JER33" s="672"/>
      <c r="JES33" s="672"/>
      <c r="JET33" s="672"/>
      <c r="JEU33" s="672"/>
      <c r="JEV33" s="672"/>
      <c r="JEW33" s="672"/>
      <c r="JEX33" s="672"/>
      <c r="JEY33" s="672"/>
      <c r="JEZ33" s="672"/>
      <c r="JFA33" s="672"/>
      <c r="JFB33" s="672"/>
      <c r="JFC33" s="672"/>
      <c r="JFD33" s="672"/>
      <c r="JFE33" s="672"/>
      <c r="JFF33" s="672"/>
      <c r="JFG33" s="672"/>
      <c r="JFH33" s="672"/>
      <c r="JFI33" s="672"/>
      <c r="JFJ33" s="672"/>
      <c r="JFK33" s="672"/>
      <c r="JFL33" s="672"/>
      <c r="JFM33" s="672"/>
      <c r="JFN33" s="672"/>
      <c r="JFO33" s="672"/>
      <c r="JFP33" s="672"/>
      <c r="JFQ33" s="672"/>
      <c r="JFR33" s="672"/>
      <c r="JFS33" s="672"/>
      <c r="JFT33" s="672"/>
      <c r="JFU33" s="672"/>
      <c r="JFV33" s="672"/>
      <c r="JFW33" s="672"/>
      <c r="JFX33" s="672"/>
      <c r="JFY33" s="672"/>
      <c r="JFZ33" s="672"/>
      <c r="JGA33" s="672"/>
      <c r="JGB33" s="672"/>
      <c r="JGC33" s="672"/>
      <c r="JGD33" s="672"/>
      <c r="JGE33" s="672"/>
      <c r="JGF33" s="672"/>
      <c r="JGG33" s="672"/>
      <c r="JGH33" s="672"/>
      <c r="JGI33" s="672"/>
      <c r="JGJ33" s="672"/>
      <c r="JGK33" s="672"/>
      <c r="JGL33" s="672"/>
      <c r="JGM33" s="672"/>
      <c r="JGN33" s="672"/>
      <c r="JGO33" s="672"/>
      <c r="JGP33" s="672"/>
      <c r="JGQ33" s="672"/>
      <c r="JGR33" s="672"/>
      <c r="JGS33" s="672"/>
      <c r="JGT33" s="672"/>
      <c r="JGU33" s="672"/>
      <c r="JGV33" s="672"/>
      <c r="JGW33" s="672"/>
      <c r="JGX33" s="672"/>
      <c r="JGY33" s="672"/>
      <c r="JGZ33" s="672"/>
      <c r="JHA33" s="672"/>
      <c r="JHB33" s="672"/>
      <c r="JHC33" s="672"/>
      <c r="JHD33" s="672"/>
      <c r="JHE33" s="672"/>
      <c r="JHF33" s="672"/>
      <c r="JHG33" s="672"/>
      <c r="JHH33" s="672"/>
      <c r="JHI33" s="672"/>
      <c r="JHJ33" s="672"/>
      <c r="JHK33" s="672"/>
      <c r="JHL33" s="672"/>
      <c r="JHM33" s="672"/>
      <c r="JHN33" s="672"/>
      <c r="JHO33" s="672"/>
      <c r="JHP33" s="672"/>
      <c r="JHQ33" s="672"/>
      <c r="JHR33" s="672"/>
      <c r="JHS33" s="672"/>
      <c r="JHT33" s="672"/>
      <c r="JHU33" s="672"/>
      <c r="JHV33" s="672"/>
      <c r="JHW33" s="672"/>
      <c r="JHX33" s="672"/>
      <c r="JHY33" s="672"/>
      <c r="JHZ33" s="672"/>
      <c r="JIA33" s="672"/>
      <c r="JIB33" s="672"/>
      <c r="JIC33" s="672"/>
      <c r="JID33" s="672"/>
      <c r="JIE33" s="672"/>
      <c r="JIF33" s="672"/>
      <c r="JIG33" s="672"/>
      <c r="JIH33" s="672"/>
      <c r="JII33" s="672"/>
      <c r="JIJ33" s="672"/>
      <c r="JIK33" s="672"/>
      <c r="JIL33" s="672"/>
      <c r="JIM33" s="672"/>
      <c r="JIN33" s="672"/>
      <c r="JIO33" s="672"/>
      <c r="JIP33" s="672"/>
      <c r="JIQ33" s="672"/>
      <c r="JIR33" s="672"/>
      <c r="JIS33" s="672"/>
      <c r="JIT33" s="672"/>
      <c r="JIU33" s="672"/>
      <c r="JIV33" s="672"/>
      <c r="JIW33" s="672"/>
      <c r="JIX33" s="672"/>
      <c r="JIY33" s="672"/>
      <c r="JIZ33" s="672"/>
      <c r="JJA33" s="672"/>
      <c r="JJB33" s="672"/>
      <c r="JJC33" s="672"/>
      <c r="JJD33" s="672"/>
      <c r="JJE33" s="672"/>
      <c r="JJF33" s="672"/>
      <c r="JJG33" s="672"/>
      <c r="JJH33" s="672"/>
      <c r="JJI33" s="672"/>
      <c r="JJJ33" s="672"/>
      <c r="JJK33" s="672"/>
      <c r="JJL33" s="672"/>
      <c r="JJM33" s="672"/>
      <c r="JJN33" s="672"/>
      <c r="JJO33" s="672"/>
      <c r="JJP33" s="672"/>
      <c r="JJQ33" s="672"/>
      <c r="JJR33" s="672"/>
      <c r="JJS33" s="672"/>
      <c r="JJT33" s="672"/>
      <c r="JJU33" s="672"/>
      <c r="JJV33" s="672"/>
      <c r="JJW33" s="672"/>
      <c r="JJX33" s="672"/>
      <c r="JJY33" s="672"/>
      <c r="JJZ33" s="672"/>
      <c r="JKA33" s="672"/>
      <c r="JKB33" s="672"/>
      <c r="JKC33" s="672"/>
      <c r="JKD33" s="672"/>
      <c r="JKE33" s="672"/>
      <c r="JKF33" s="672"/>
      <c r="JKG33" s="672"/>
      <c r="JKH33" s="672"/>
      <c r="JKI33" s="672"/>
      <c r="JKJ33" s="672"/>
      <c r="JKK33" s="672"/>
      <c r="JKL33" s="672"/>
      <c r="JKM33" s="672"/>
      <c r="JKN33" s="672"/>
      <c r="JKO33" s="672"/>
      <c r="JKP33" s="672"/>
      <c r="JKQ33" s="672"/>
      <c r="JKR33" s="672"/>
      <c r="JKS33" s="672"/>
      <c r="JKT33" s="672"/>
      <c r="JKU33" s="672"/>
      <c r="JKV33" s="672"/>
      <c r="JKW33" s="672"/>
      <c r="JKX33" s="672"/>
      <c r="JKY33" s="672"/>
      <c r="JKZ33" s="672"/>
      <c r="JLA33" s="672"/>
      <c r="JLB33" s="672"/>
      <c r="JLC33" s="672"/>
      <c r="JLD33" s="672"/>
      <c r="JLE33" s="672"/>
      <c r="JLF33" s="672"/>
      <c r="JLG33" s="672"/>
      <c r="JLH33" s="672"/>
      <c r="JLI33" s="672"/>
      <c r="JLJ33" s="672"/>
      <c r="JLK33" s="672"/>
      <c r="JLL33" s="672"/>
      <c r="JLM33" s="672"/>
      <c r="JLN33" s="672"/>
      <c r="JLO33" s="672"/>
      <c r="JLP33" s="672"/>
      <c r="JLQ33" s="672"/>
      <c r="JLR33" s="672"/>
      <c r="JLS33" s="672"/>
      <c r="JLT33" s="672"/>
      <c r="JLU33" s="672"/>
      <c r="JLV33" s="672"/>
      <c r="JLW33" s="672"/>
      <c r="JLX33" s="672"/>
      <c r="JLY33" s="672"/>
      <c r="JLZ33" s="672"/>
      <c r="JMA33" s="672"/>
      <c r="JMB33" s="672"/>
      <c r="JMC33" s="672"/>
      <c r="JMD33" s="672"/>
      <c r="JME33" s="672"/>
      <c r="JMF33" s="672"/>
      <c r="JMG33" s="672"/>
      <c r="JMH33" s="672"/>
      <c r="JMI33" s="672"/>
      <c r="JMJ33" s="672"/>
      <c r="JMK33" s="672"/>
      <c r="JML33" s="672"/>
      <c r="JMM33" s="672"/>
      <c r="JMN33" s="672"/>
      <c r="JMO33" s="672"/>
      <c r="JMP33" s="672"/>
      <c r="JMQ33" s="672"/>
      <c r="JMR33" s="672"/>
      <c r="JMS33" s="672"/>
      <c r="JMT33" s="672"/>
      <c r="JMU33" s="672"/>
      <c r="JMV33" s="672"/>
      <c r="JMW33" s="672"/>
      <c r="JMX33" s="672"/>
      <c r="JMY33" s="672"/>
      <c r="JMZ33" s="672"/>
      <c r="JNA33" s="672"/>
      <c r="JNB33" s="672"/>
      <c r="JNC33" s="672"/>
      <c r="JND33" s="672"/>
      <c r="JNE33" s="672"/>
      <c r="JNF33" s="672"/>
      <c r="JNG33" s="672"/>
      <c r="JNH33" s="672"/>
      <c r="JNI33" s="672"/>
      <c r="JNJ33" s="672"/>
      <c r="JNK33" s="672"/>
      <c r="JNL33" s="672"/>
      <c r="JNM33" s="672"/>
      <c r="JNN33" s="672"/>
      <c r="JNO33" s="672"/>
      <c r="JNP33" s="672"/>
      <c r="JNQ33" s="672"/>
      <c r="JNR33" s="672"/>
      <c r="JNS33" s="672"/>
      <c r="JNT33" s="672"/>
      <c r="JNU33" s="672"/>
      <c r="JNV33" s="672"/>
      <c r="JNW33" s="672"/>
      <c r="JNX33" s="672"/>
      <c r="JNY33" s="672"/>
      <c r="JNZ33" s="672"/>
      <c r="JOA33" s="672"/>
      <c r="JOB33" s="672"/>
      <c r="JOC33" s="672"/>
      <c r="JOD33" s="672"/>
      <c r="JOE33" s="672"/>
      <c r="JOF33" s="672"/>
      <c r="JOG33" s="672"/>
      <c r="JOH33" s="672"/>
      <c r="JOI33" s="672"/>
      <c r="JOJ33" s="672"/>
      <c r="JOK33" s="672"/>
      <c r="JOL33" s="672"/>
      <c r="JOM33" s="672"/>
      <c r="JON33" s="672"/>
      <c r="JOO33" s="672"/>
      <c r="JOP33" s="672"/>
      <c r="JOQ33" s="672"/>
      <c r="JOR33" s="672"/>
      <c r="JOS33" s="672"/>
      <c r="JOT33" s="672"/>
      <c r="JOU33" s="672"/>
      <c r="JOV33" s="672"/>
      <c r="JOW33" s="672"/>
      <c r="JOX33" s="672"/>
      <c r="JOY33" s="672"/>
      <c r="JOZ33" s="672"/>
      <c r="JPA33" s="672"/>
      <c r="JPB33" s="672"/>
      <c r="JPC33" s="672"/>
      <c r="JPD33" s="672"/>
      <c r="JPE33" s="672"/>
      <c r="JPF33" s="672"/>
      <c r="JPG33" s="672"/>
      <c r="JPH33" s="672"/>
      <c r="JPI33" s="672"/>
      <c r="JPJ33" s="672"/>
      <c r="JPK33" s="672"/>
      <c r="JPL33" s="672"/>
      <c r="JPM33" s="672"/>
      <c r="JPN33" s="672"/>
      <c r="JPO33" s="672"/>
      <c r="JPP33" s="672"/>
      <c r="JPQ33" s="672"/>
      <c r="JPR33" s="672"/>
      <c r="JPS33" s="672"/>
      <c r="JPT33" s="672"/>
      <c r="JPU33" s="672"/>
      <c r="JPV33" s="672"/>
      <c r="JPW33" s="672"/>
      <c r="JPX33" s="672"/>
      <c r="JPY33" s="672"/>
      <c r="JPZ33" s="672"/>
      <c r="JQA33" s="672"/>
      <c r="JQB33" s="672"/>
      <c r="JQC33" s="672"/>
      <c r="JQD33" s="672"/>
      <c r="JQE33" s="672"/>
      <c r="JQF33" s="672"/>
      <c r="JQG33" s="672"/>
      <c r="JQH33" s="672"/>
      <c r="JQI33" s="672"/>
      <c r="JQJ33" s="672"/>
      <c r="JQK33" s="672"/>
      <c r="JQL33" s="672"/>
      <c r="JQM33" s="672"/>
      <c r="JQN33" s="672"/>
      <c r="JQO33" s="672"/>
      <c r="JQP33" s="672"/>
      <c r="JQQ33" s="672"/>
      <c r="JQR33" s="672"/>
      <c r="JQS33" s="672"/>
      <c r="JQT33" s="672"/>
      <c r="JQU33" s="672"/>
      <c r="JQV33" s="672"/>
      <c r="JQW33" s="672"/>
      <c r="JQX33" s="672"/>
      <c r="JQY33" s="672"/>
      <c r="JQZ33" s="672"/>
      <c r="JRA33" s="672"/>
      <c r="JRB33" s="672"/>
      <c r="JRC33" s="672"/>
      <c r="JRD33" s="672"/>
      <c r="JRE33" s="672"/>
      <c r="JRF33" s="672"/>
      <c r="JRG33" s="672"/>
      <c r="JRH33" s="672"/>
      <c r="JRI33" s="672"/>
      <c r="JRJ33" s="672"/>
      <c r="JRK33" s="672"/>
      <c r="JRL33" s="672"/>
      <c r="JRM33" s="672"/>
      <c r="JRN33" s="672"/>
      <c r="JRO33" s="672"/>
      <c r="JRP33" s="672"/>
      <c r="JRQ33" s="672"/>
      <c r="JRR33" s="672"/>
      <c r="JRS33" s="672"/>
      <c r="JRT33" s="672"/>
      <c r="JRU33" s="672"/>
      <c r="JRV33" s="672"/>
      <c r="JRW33" s="672"/>
      <c r="JRX33" s="672"/>
      <c r="JRY33" s="672"/>
      <c r="JRZ33" s="672"/>
      <c r="JSA33" s="672"/>
      <c r="JSB33" s="672"/>
      <c r="JSC33" s="672"/>
      <c r="JSD33" s="672"/>
      <c r="JSE33" s="672"/>
      <c r="JSF33" s="672"/>
      <c r="JSG33" s="672"/>
      <c r="JSH33" s="672"/>
      <c r="JSI33" s="672"/>
      <c r="JSJ33" s="672"/>
      <c r="JSK33" s="672"/>
      <c r="JSL33" s="672"/>
      <c r="JSM33" s="672"/>
      <c r="JSN33" s="672"/>
      <c r="JSO33" s="672"/>
      <c r="JSP33" s="672"/>
      <c r="JSQ33" s="672"/>
      <c r="JSR33" s="672"/>
      <c r="JSS33" s="672"/>
      <c r="JST33" s="672"/>
      <c r="JSU33" s="672"/>
      <c r="JSV33" s="672"/>
      <c r="JSW33" s="672"/>
      <c r="JSX33" s="672"/>
      <c r="JSY33" s="672"/>
      <c r="JSZ33" s="672"/>
      <c r="JTA33" s="672"/>
      <c r="JTB33" s="672"/>
      <c r="JTC33" s="672"/>
      <c r="JTD33" s="672"/>
      <c r="JTE33" s="672"/>
      <c r="JTF33" s="672"/>
      <c r="JTG33" s="672"/>
      <c r="JTH33" s="672"/>
      <c r="JTI33" s="672"/>
      <c r="JTJ33" s="672"/>
      <c r="JTK33" s="672"/>
      <c r="JTL33" s="672"/>
      <c r="JTM33" s="672"/>
      <c r="JTN33" s="672"/>
      <c r="JTO33" s="672"/>
      <c r="JTP33" s="672"/>
      <c r="JTQ33" s="672"/>
      <c r="JTR33" s="672"/>
      <c r="JTS33" s="672"/>
      <c r="JTT33" s="672"/>
      <c r="JTU33" s="672"/>
      <c r="JTV33" s="672"/>
      <c r="JTW33" s="672"/>
      <c r="JTX33" s="672"/>
      <c r="JTY33" s="672"/>
      <c r="JTZ33" s="672"/>
      <c r="JUA33" s="672"/>
      <c r="JUB33" s="672"/>
      <c r="JUC33" s="672"/>
      <c r="JUD33" s="672"/>
      <c r="JUE33" s="672"/>
      <c r="JUF33" s="672"/>
      <c r="JUG33" s="672"/>
      <c r="JUH33" s="672"/>
      <c r="JUI33" s="672"/>
      <c r="JUJ33" s="672"/>
      <c r="JUK33" s="672"/>
      <c r="JUL33" s="672"/>
      <c r="JUM33" s="672"/>
      <c r="JUN33" s="672"/>
      <c r="JUO33" s="672"/>
      <c r="JUP33" s="672"/>
      <c r="JUQ33" s="672"/>
      <c r="JUR33" s="672"/>
      <c r="JUS33" s="672"/>
      <c r="JUT33" s="672"/>
      <c r="JUU33" s="672"/>
      <c r="JUV33" s="672"/>
      <c r="JUW33" s="672"/>
      <c r="JUX33" s="672"/>
      <c r="JUY33" s="672"/>
      <c r="JUZ33" s="672"/>
      <c r="JVA33" s="672"/>
      <c r="JVB33" s="672"/>
      <c r="JVC33" s="672"/>
      <c r="JVD33" s="672"/>
      <c r="JVE33" s="672"/>
      <c r="JVF33" s="672"/>
      <c r="JVG33" s="672"/>
      <c r="JVH33" s="672"/>
      <c r="JVI33" s="672"/>
      <c r="JVJ33" s="672"/>
      <c r="JVK33" s="672"/>
      <c r="JVL33" s="672"/>
      <c r="JVM33" s="672"/>
      <c r="JVN33" s="672"/>
      <c r="JVO33" s="672"/>
      <c r="JVP33" s="672"/>
      <c r="JVQ33" s="672"/>
      <c r="JVR33" s="672"/>
      <c r="JVS33" s="672"/>
      <c r="JVT33" s="672"/>
      <c r="JVU33" s="672"/>
      <c r="JVV33" s="672"/>
      <c r="JVW33" s="672"/>
      <c r="JVX33" s="672"/>
      <c r="JVY33" s="672"/>
      <c r="JVZ33" s="672"/>
      <c r="JWA33" s="672"/>
      <c r="JWB33" s="672"/>
      <c r="JWC33" s="672"/>
      <c r="JWD33" s="672"/>
      <c r="JWE33" s="672"/>
      <c r="JWF33" s="672"/>
      <c r="JWG33" s="672"/>
      <c r="JWH33" s="672"/>
      <c r="JWI33" s="672"/>
      <c r="JWJ33" s="672"/>
      <c r="JWK33" s="672"/>
      <c r="JWL33" s="672"/>
      <c r="JWM33" s="672"/>
      <c r="JWN33" s="672"/>
      <c r="JWO33" s="672"/>
      <c r="JWP33" s="672"/>
      <c r="JWQ33" s="672"/>
      <c r="JWR33" s="672"/>
      <c r="JWS33" s="672"/>
      <c r="JWT33" s="672"/>
      <c r="JWU33" s="672"/>
      <c r="JWV33" s="672"/>
      <c r="JWW33" s="672"/>
      <c r="JWX33" s="672"/>
      <c r="JWY33" s="672"/>
      <c r="JWZ33" s="672"/>
      <c r="JXA33" s="672"/>
      <c r="JXB33" s="672"/>
      <c r="JXC33" s="672"/>
      <c r="JXD33" s="672"/>
      <c r="JXE33" s="672"/>
      <c r="JXF33" s="672"/>
      <c r="JXG33" s="672"/>
      <c r="JXH33" s="672"/>
      <c r="JXI33" s="672"/>
      <c r="JXJ33" s="672"/>
      <c r="JXK33" s="672"/>
      <c r="JXL33" s="672"/>
      <c r="JXM33" s="672"/>
      <c r="JXN33" s="672"/>
      <c r="JXO33" s="672"/>
      <c r="JXP33" s="672"/>
      <c r="JXQ33" s="672"/>
      <c r="JXR33" s="672"/>
      <c r="JXS33" s="672"/>
      <c r="JXT33" s="672"/>
      <c r="JXU33" s="672"/>
      <c r="JXV33" s="672"/>
      <c r="JXW33" s="672"/>
      <c r="JXX33" s="672"/>
      <c r="JXY33" s="672"/>
      <c r="JXZ33" s="672"/>
      <c r="JYA33" s="672"/>
      <c r="JYB33" s="672"/>
      <c r="JYC33" s="672"/>
      <c r="JYD33" s="672"/>
      <c r="JYE33" s="672"/>
      <c r="JYF33" s="672"/>
      <c r="JYG33" s="672"/>
      <c r="JYH33" s="672"/>
      <c r="JYI33" s="672"/>
      <c r="JYJ33" s="672"/>
      <c r="JYK33" s="672"/>
      <c r="JYL33" s="672"/>
      <c r="JYM33" s="672"/>
      <c r="JYN33" s="672"/>
      <c r="JYO33" s="672"/>
      <c r="JYP33" s="672"/>
      <c r="JYQ33" s="672"/>
      <c r="JYR33" s="672"/>
      <c r="JYS33" s="672"/>
      <c r="JYT33" s="672"/>
      <c r="JYU33" s="672"/>
      <c r="JYV33" s="672"/>
      <c r="JYW33" s="672"/>
      <c r="JYX33" s="672"/>
      <c r="JYY33" s="672"/>
      <c r="JYZ33" s="672"/>
      <c r="JZA33" s="672"/>
      <c r="JZB33" s="672"/>
      <c r="JZC33" s="672"/>
      <c r="JZD33" s="672"/>
      <c r="JZE33" s="672"/>
      <c r="JZF33" s="672"/>
      <c r="JZG33" s="672"/>
      <c r="JZH33" s="672"/>
      <c r="JZI33" s="672"/>
      <c r="JZJ33" s="672"/>
      <c r="JZK33" s="672"/>
      <c r="JZL33" s="672"/>
      <c r="JZM33" s="672"/>
      <c r="JZN33" s="672"/>
      <c r="JZO33" s="672"/>
      <c r="JZP33" s="672"/>
      <c r="JZQ33" s="672"/>
      <c r="JZR33" s="672"/>
      <c r="JZS33" s="672"/>
      <c r="JZT33" s="672"/>
      <c r="JZU33" s="672"/>
      <c r="JZV33" s="672"/>
      <c r="JZW33" s="672"/>
      <c r="JZX33" s="672"/>
      <c r="JZY33" s="672"/>
      <c r="JZZ33" s="672"/>
      <c r="KAA33" s="672"/>
      <c r="KAB33" s="672"/>
      <c r="KAC33" s="672"/>
      <c r="KAD33" s="672"/>
      <c r="KAE33" s="672"/>
      <c r="KAF33" s="672"/>
      <c r="KAG33" s="672"/>
      <c r="KAH33" s="672"/>
      <c r="KAI33" s="672"/>
      <c r="KAJ33" s="672"/>
      <c r="KAK33" s="672"/>
      <c r="KAL33" s="672"/>
      <c r="KAM33" s="672"/>
      <c r="KAN33" s="672"/>
      <c r="KAO33" s="672"/>
      <c r="KAP33" s="672"/>
      <c r="KAQ33" s="672"/>
      <c r="KAR33" s="672"/>
      <c r="KAS33" s="672"/>
      <c r="KAT33" s="672"/>
      <c r="KAU33" s="672"/>
      <c r="KAV33" s="672"/>
      <c r="KAW33" s="672"/>
      <c r="KAX33" s="672"/>
      <c r="KAY33" s="672"/>
      <c r="KAZ33" s="672"/>
      <c r="KBA33" s="672"/>
      <c r="KBB33" s="672"/>
      <c r="KBC33" s="672"/>
      <c r="KBD33" s="672"/>
      <c r="KBE33" s="672"/>
      <c r="KBF33" s="672"/>
      <c r="KBG33" s="672"/>
      <c r="KBH33" s="672"/>
      <c r="KBI33" s="672"/>
      <c r="KBJ33" s="672"/>
      <c r="KBK33" s="672"/>
      <c r="KBL33" s="672"/>
      <c r="KBM33" s="672"/>
      <c r="KBN33" s="672"/>
      <c r="KBO33" s="672"/>
      <c r="KBP33" s="672"/>
      <c r="KBQ33" s="672"/>
      <c r="KBR33" s="672"/>
      <c r="KBS33" s="672"/>
      <c r="KBT33" s="672"/>
      <c r="KBU33" s="672"/>
      <c r="KBV33" s="672"/>
      <c r="KBW33" s="672"/>
      <c r="KBX33" s="672"/>
      <c r="KBY33" s="672"/>
      <c r="KBZ33" s="672"/>
      <c r="KCA33" s="672"/>
      <c r="KCB33" s="672"/>
      <c r="KCC33" s="672"/>
      <c r="KCD33" s="672"/>
      <c r="KCE33" s="672"/>
      <c r="KCF33" s="672"/>
      <c r="KCG33" s="672"/>
      <c r="KCH33" s="672"/>
      <c r="KCI33" s="672"/>
      <c r="KCJ33" s="672"/>
      <c r="KCK33" s="672"/>
      <c r="KCL33" s="672"/>
      <c r="KCM33" s="672"/>
      <c r="KCN33" s="672"/>
      <c r="KCO33" s="672"/>
      <c r="KCP33" s="672"/>
      <c r="KCQ33" s="672"/>
      <c r="KCR33" s="672"/>
      <c r="KCS33" s="672"/>
      <c r="KCT33" s="672"/>
      <c r="KCU33" s="672"/>
      <c r="KCV33" s="672"/>
      <c r="KCW33" s="672"/>
      <c r="KCX33" s="672"/>
      <c r="KCY33" s="672"/>
      <c r="KCZ33" s="672"/>
      <c r="KDA33" s="672"/>
      <c r="KDB33" s="672"/>
      <c r="KDC33" s="672"/>
      <c r="KDD33" s="672"/>
      <c r="KDE33" s="672"/>
      <c r="KDF33" s="672"/>
      <c r="KDG33" s="672"/>
      <c r="KDH33" s="672"/>
      <c r="KDI33" s="672"/>
      <c r="KDJ33" s="672"/>
      <c r="KDK33" s="672"/>
      <c r="KDL33" s="672"/>
      <c r="KDM33" s="672"/>
      <c r="KDN33" s="672"/>
      <c r="KDO33" s="672"/>
      <c r="KDP33" s="672"/>
      <c r="KDQ33" s="672"/>
      <c r="KDR33" s="672"/>
      <c r="KDS33" s="672"/>
      <c r="KDT33" s="672"/>
      <c r="KDU33" s="672"/>
      <c r="KDV33" s="672"/>
      <c r="KDW33" s="672"/>
      <c r="KDX33" s="672"/>
      <c r="KDY33" s="672"/>
      <c r="KDZ33" s="672"/>
      <c r="KEA33" s="672"/>
      <c r="KEB33" s="672"/>
      <c r="KEC33" s="672"/>
      <c r="KED33" s="672"/>
      <c r="KEE33" s="672"/>
      <c r="KEF33" s="672"/>
      <c r="KEG33" s="672"/>
      <c r="KEH33" s="672"/>
      <c r="KEI33" s="672"/>
      <c r="KEJ33" s="672"/>
      <c r="KEK33" s="672"/>
      <c r="KEL33" s="672"/>
      <c r="KEM33" s="672"/>
      <c r="KEN33" s="672"/>
      <c r="KEO33" s="672"/>
      <c r="KEP33" s="672"/>
      <c r="KEQ33" s="672"/>
      <c r="KER33" s="672"/>
      <c r="KES33" s="672"/>
      <c r="KET33" s="672"/>
      <c r="KEU33" s="672"/>
      <c r="KEV33" s="672"/>
      <c r="KEW33" s="672"/>
      <c r="KEX33" s="672"/>
      <c r="KEY33" s="672"/>
      <c r="KEZ33" s="672"/>
      <c r="KFA33" s="672"/>
      <c r="KFB33" s="672"/>
      <c r="KFC33" s="672"/>
      <c r="KFD33" s="672"/>
      <c r="KFE33" s="672"/>
      <c r="KFF33" s="672"/>
      <c r="KFG33" s="672"/>
      <c r="KFH33" s="672"/>
      <c r="KFI33" s="672"/>
      <c r="KFJ33" s="672"/>
      <c r="KFK33" s="672"/>
      <c r="KFL33" s="672"/>
      <c r="KFM33" s="672"/>
      <c r="KFN33" s="672"/>
      <c r="KFO33" s="672"/>
      <c r="KFP33" s="672"/>
      <c r="KFQ33" s="672"/>
      <c r="KFR33" s="672"/>
      <c r="KFS33" s="672"/>
      <c r="KFT33" s="672"/>
      <c r="KFU33" s="672"/>
      <c r="KFV33" s="672"/>
      <c r="KFW33" s="672"/>
      <c r="KFX33" s="672"/>
      <c r="KFY33" s="672"/>
      <c r="KFZ33" s="672"/>
      <c r="KGA33" s="672"/>
      <c r="KGB33" s="672"/>
      <c r="KGC33" s="672"/>
      <c r="KGD33" s="672"/>
      <c r="KGE33" s="672"/>
      <c r="KGF33" s="672"/>
      <c r="KGG33" s="672"/>
      <c r="KGH33" s="672"/>
      <c r="KGI33" s="672"/>
      <c r="KGJ33" s="672"/>
      <c r="KGK33" s="672"/>
      <c r="KGL33" s="672"/>
      <c r="KGM33" s="672"/>
      <c r="KGN33" s="672"/>
      <c r="KGO33" s="672"/>
      <c r="KGP33" s="672"/>
      <c r="KGQ33" s="672"/>
      <c r="KGR33" s="672"/>
      <c r="KGS33" s="672"/>
      <c r="KGT33" s="672"/>
      <c r="KGU33" s="672"/>
      <c r="KGV33" s="672"/>
      <c r="KGW33" s="672"/>
      <c r="KGX33" s="672"/>
      <c r="KGY33" s="672"/>
      <c r="KGZ33" s="672"/>
      <c r="KHA33" s="672"/>
      <c r="KHB33" s="672"/>
      <c r="KHC33" s="672"/>
      <c r="KHD33" s="672"/>
      <c r="KHE33" s="672"/>
      <c r="KHF33" s="672"/>
      <c r="KHG33" s="672"/>
      <c r="KHH33" s="672"/>
      <c r="KHI33" s="672"/>
      <c r="KHJ33" s="672"/>
      <c r="KHK33" s="672"/>
      <c r="KHL33" s="672"/>
      <c r="KHM33" s="672"/>
      <c r="KHN33" s="672"/>
      <c r="KHO33" s="672"/>
      <c r="KHP33" s="672"/>
      <c r="KHQ33" s="672"/>
      <c r="KHR33" s="672"/>
      <c r="KHS33" s="672"/>
      <c r="KHT33" s="672"/>
      <c r="KHU33" s="672"/>
      <c r="KHV33" s="672"/>
      <c r="KHW33" s="672"/>
      <c r="KHX33" s="672"/>
      <c r="KHY33" s="672"/>
      <c r="KHZ33" s="672"/>
      <c r="KIA33" s="672"/>
      <c r="KIB33" s="672"/>
      <c r="KIC33" s="672"/>
      <c r="KID33" s="672"/>
      <c r="KIE33" s="672"/>
      <c r="KIF33" s="672"/>
      <c r="KIG33" s="672"/>
      <c r="KIH33" s="672"/>
      <c r="KII33" s="672"/>
      <c r="KIJ33" s="672"/>
      <c r="KIK33" s="672"/>
      <c r="KIL33" s="672"/>
      <c r="KIM33" s="672"/>
      <c r="KIN33" s="672"/>
      <c r="KIO33" s="672"/>
      <c r="KIP33" s="672"/>
      <c r="KIQ33" s="672"/>
      <c r="KIR33" s="672"/>
      <c r="KIS33" s="672"/>
      <c r="KIT33" s="672"/>
      <c r="KIU33" s="672"/>
      <c r="KIV33" s="672"/>
      <c r="KIW33" s="672"/>
      <c r="KIX33" s="672"/>
      <c r="KIY33" s="672"/>
      <c r="KIZ33" s="672"/>
      <c r="KJA33" s="672"/>
      <c r="KJB33" s="672"/>
      <c r="KJC33" s="672"/>
      <c r="KJD33" s="672"/>
      <c r="KJE33" s="672"/>
      <c r="KJF33" s="672"/>
      <c r="KJG33" s="672"/>
      <c r="KJH33" s="672"/>
      <c r="KJI33" s="672"/>
      <c r="KJJ33" s="672"/>
      <c r="KJK33" s="672"/>
      <c r="KJL33" s="672"/>
      <c r="KJM33" s="672"/>
      <c r="KJN33" s="672"/>
      <c r="KJO33" s="672"/>
      <c r="KJP33" s="672"/>
      <c r="KJQ33" s="672"/>
      <c r="KJR33" s="672"/>
      <c r="KJS33" s="672"/>
      <c r="KJT33" s="672"/>
      <c r="KJU33" s="672"/>
      <c r="KJV33" s="672"/>
      <c r="KJW33" s="672"/>
      <c r="KJX33" s="672"/>
      <c r="KJY33" s="672"/>
      <c r="KJZ33" s="672"/>
      <c r="KKA33" s="672"/>
      <c r="KKB33" s="672"/>
      <c r="KKC33" s="672"/>
      <c r="KKD33" s="672"/>
      <c r="KKE33" s="672"/>
      <c r="KKF33" s="672"/>
      <c r="KKG33" s="672"/>
      <c r="KKH33" s="672"/>
      <c r="KKI33" s="672"/>
      <c r="KKJ33" s="672"/>
      <c r="KKK33" s="672"/>
      <c r="KKL33" s="672"/>
      <c r="KKM33" s="672"/>
      <c r="KKN33" s="672"/>
      <c r="KKO33" s="672"/>
      <c r="KKP33" s="672"/>
      <c r="KKQ33" s="672"/>
      <c r="KKR33" s="672"/>
      <c r="KKS33" s="672"/>
      <c r="KKT33" s="672"/>
      <c r="KKU33" s="672"/>
      <c r="KKV33" s="672"/>
      <c r="KKW33" s="672"/>
      <c r="KKX33" s="672"/>
      <c r="KKY33" s="672"/>
      <c r="KKZ33" s="672"/>
      <c r="KLA33" s="672"/>
      <c r="KLB33" s="672"/>
      <c r="KLC33" s="672"/>
      <c r="KLD33" s="672"/>
      <c r="KLE33" s="672"/>
      <c r="KLF33" s="672"/>
      <c r="KLG33" s="672"/>
      <c r="KLH33" s="672"/>
      <c r="KLI33" s="672"/>
      <c r="KLJ33" s="672"/>
      <c r="KLK33" s="672"/>
      <c r="KLL33" s="672"/>
      <c r="KLM33" s="672"/>
      <c r="KLN33" s="672"/>
      <c r="KLO33" s="672"/>
      <c r="KLP33" s="672"/>
      <c r="KLQ33" s="672"/>
      <c r="KLR33" s="672"/>
      <c r="KLS33" s="672"/>
      <c r="KLT33" s="672"/>
      <c r="KLU33" s="672"/>
      <c r="KLV33" s="672"/>
      <c r="KLW33" s="672"/>
      <c r="KLX33" s="672"/>
      <c r="KLY33" s="672"/>
      <c r="KLZ33" s="672"/>
      <c r="KMA33" s="672"/>
      <c r="KMB33" s="672"/>
      <c r="KMC33" s="672"/>
      <c r="KMD33" s="672"/>
      <c r="KME33" s="672"/>
      <c r="KMF33" s="672"/>
      <c r="KMG33" s="672"/>
      <c r="KMH33" s="672"/>
      <c r="KMI33" s="672"/>
      <c r="KMJ33" s="672"/>
      <c r="KMK33" s="672"/>
      <c r="KML33" s="672"/>
      <c r="KMM33" s="672"/>
      <c r="KMN33" s="672"/>
      <c r="KMO33" s="672"/>
      <c r="KMP33" s="672"/>
      <c r="KMQ33" s="672"/>
      <c r="KMR33" s="672"/>
      <c r="KMS33" s="672"/>
      <c r="KMT33" s="672"/>
      <c r="KMU33" s="672"/>
      <c r="KMV33" s="672"/>
      <c r="KMW33" s="672"/>
      <c r="KMX33" s="672"/>
      <c r="KMY33" s="672"/>
      <c r="KMZ33" s="672"/>
      <c r="KNA33" s="672"/>
      <c r="KNB33" s="672"/>
      <c r="KNC33" s="672"/>
      <c r="KND33" s="672"/>
      <c r="KNE33" s="672"/>
      <c r="KNF33" s="672"/>
      <c r="KNG33" s="672"/>
      <c r="KNH33" s="672"/>
      <c r="KNI33" s="672"/>
      <c r="KNJ33" s="672"/>
      <c r="KNK33" s="672"/>
      <c r="KNL33" s="672"/>
      <c r="KNM33" s="672"/>
      <c r="KNN33" s="672"/>
      <c r="KNO33" s="672"/>
      <c r="KNP33" s="672"/>
      <c r="KNQ33" s="672"/>
      <c r="KNR33" s="672"/>
      <c r="KNS33" s="672"/>
      <c r="KNT33" s="672"/>
      <c r="KNU33" s="672"/>
      <c r="KNV33" s="672"/>
      <c r="KNW33" s="672"/>
      <c r="KNX33" s="672"/>
      <c r="KNY33" s="672"/>
      <c r="KNZ33" s="672"/>
      <c r="KOA33" s="672"/>
      <c r="KOB33" s="672"/>
      <c r="KOC33" s="672"/>
      <c r="KOD33" s="672"/>
      <c r="KOE33" s="672"/>
      <c r="KOF33" s="672"/>
      <c r="KOG33" s="672"/>
      <c r="KOH33" s="672"/>
      <c r="KOI33" s="672"/>
      <c r="KOJ33" s="672"/>
      <c r="KOK33" s="672"/>
      <c r="KOL33" s="672"/>
      <c r="KOM33" s="672"/>
      <c r="KON33" s="672"/>
      <c r="KOO33" s="672"/>
      <c r="KOP33" s="672"/>
      <c r="KOQ33" s="672"/>
      <c r="KOR33" s="672"/>
      <c r="KOS33" s="672"/>
      <c r="KOT33" s="672"/>
      <c r="KOU33" s="672"/>
      <c r="KOV33" s="672"/>
      <c r="KOW33" s="672"/>
      <c r="KOX33" s="672"/>
      <c r="KOY33" s="672"/>
      <c r="KOZ33" s="672"/>
      <c r="KPA33" s="672"/>
      <c r="KPB33" s="672"/>
      <c r="KPC33" s="672"/>
      <c r="KPD33" s="672"/>
      <c r="KPE33" s="672"/>
      <c r="KPF33" s="672"/>
      <c r="KPG33" s="672"/>
      <c r="KPH33" s="672"/>
      <c r="KPI33" s="672"/>
      <c r="KPJ33" s="672"/>
      <c r="KPK33" s="672"/>
      <c r="KPL33" s="672"/>
      <c r="KPM33" s="672"/>
      <c r="KPN33" s="672"/>
      <c r="KPO33" s="672"/>
      <c r="KPP33" s="672"/>
      <c r="KPQ33" s="672"/>
      <c r="KPR33" s="672"/>
      <c r="KPS33" s="672"/>
      <c r="KPT33" s="672"/>
      <c r="KPU33" s="672"/>
      <c r="KPV33" s="672"/>
      <c r="KPW33" s="672"/>
      <c r="KPX33" s="672"/>
      <c r="KPY33" s="672"/>
      <c r="KPZ33" s="672"/>
      <c r="KQA33" s="672"/>
      <c r="KQB33" s="672"/>
      <c r="KQC33" s="672"/>
      <c r="KQD33" s="672"/>
      <c r="KQE33" s="672"/>
      <c r="KQF33" s="672"/>
      <c r="KQG33" s="672"/>
      <c r="KQH33" s="672"/>
      <c r="KQI33" s="672"/>
      <c r="KQJ33" s="672"/>
      <c r="KQK33" s="672"/>
      <c r="KQL33" s="672"/>
      <c r="KQM33" s="672"/>
      <c r="KQN33" s="672"/>
      <c r="KQO33" s="672"/>
      <c r="KQP33" s="672"/>
      <c r="KQQ33" s="672"/>
      <c r="KQR33" s="672"/>
      <c r="KQS33" s="672"/>
      <c r="KQT33" s="672"/>
      <c r="KQU33" s="672"/>
      <c r="KQV33" s="672"/>
      <c r="KQW33" s="672"/>
      <c r="KQX33" s="672"/>
      <c r="KQY33" s="672"/>
      <c r="KQZ33" s="672"/>
      <c r="KRA33" s="672"/>
      <c r="KRB33" s="672"/>
      <c r="KRC33" s="672"/>
      <c r="KRD33" s="672"/>
      <c r="KRE33" s="672"/>
      <c r="KRF33" s="672"/>
      <c r="KRG33" s="672"/>
      <c r="KRH33" s="672"/>
      <c r="KRI33" s="672"/>
      <c r="KRJ33" s="672"/>
      <c r="KRK33" s="672"/>
      <c r="KRL33" s="672"/>
      <c r="KRM33" s="672"/>
      <c r="KRN33" s="672"/>
      <c r="KRO33" s="672"/>
      <c r="KRP33" s="672"/>
      <c r="KRQ33" s="672"/>
      <c r="KRR33" s="672"/>
      <c r="KRS33" s="672"/>
      <c r="KRT33" s="672"/>
      <c r="KRU33" s="672"/>
      <c r="KRV33" s="672"/>
      <c r="KRW33" s="672"/>
      <c r="KRX33" s="672"/>
      <c r="KRY33" s="672"/>
      <c r="KRZ33" s="672"/>
      <c r="KSA33" s="672"/>
      <c r="KSB33" s="672"/>
      <c r="KSC33" s="672"/>
      <c r="KSD33" s="672"/>
      <c r="KSE33" s="672"/>
      <c r="KSF33" s="672"/>
      <c r="KSG33" s="672"/>
      <c r="KSH33" s="672"/>
      <c r="KSI33" s="672"/>
      <c r="KSJ33" s="672"/>
      <c r="KSK33" s="672"/>
      <c r="KSL33" s="672"/>
      <c r="KSM33" s="672"/>
      <c r="KSN33" s="672"/>
      <c r="KSO33" s="672"/>
      <c r="KSP33" s="672"/>
      <c r="KSQ33" s="672"/>
      <c r="KSR33" s="672"/>
      <c r="KSS33" s="672"/>
      <c r="KST33" s="672"/>
      <c r="KSU33" s="672"/>
      <c r="KSV33" s="672"/>
      <c r="KSW33" s="672"/>
      <c r="KSX33" s="672"/>
      <c r="KSY33" s="672"/>
      <c r="KSZ33" s="672"/>
      <c r="KTA33" s="672"/>
      <c r="KTB33" s="672"/>
      <c r="KTC33" s="672"/>
      <c r="KTD33" s="672"/>
      <c r="KTE33" s="672"/>
      <c r="KTF33" s="672"/>
      <c r="KTG33" s="672"/>
      <c r="KTH33" s="672"/>
      <c r="KTI33" s="672"/>
      <c r="KTJ33" s="672"/>
      <c r="KTK33" s="672"/>
      <c r="KTL33" s="672"/>
      <c r="KTM33" s="672"/>
      <c r="KTN33" s="672"/>
      <c r="KTO33" s="672"/>
      <c r="KTP33" s="672"/>
      <c r="KTQ33" s="672"/>
      <c r="KTR33" s="672"/>
      <c r="KTS33" s="672"/>
      <c r="KTT33" s="672"/>
      <c r="KTU33" s="672"/>
      <c r="KTV33" s="672"/>
      <c r="KTW33" s="672"/>
      <c r="KTX33" s="672"/>
      <c r="KTY33" s="672"/>
      <c r="KTZ33" s="672"/>
      <c r="KUA33" s="672"/>
      <c r="KUB33" s="672"/>
      <c r="KUC33" s="672"/>
      <c r="KUD33" s="672"/>
      <c r="KUE33" s="672"/>
      <c r="KUF33" s="672"/>
      <c r="KUG33" s="672"/>
      <c r="KUH33" s="672"/>
      <c r="KUI33" s="672"/>
      <c r="KUJ33" s="672"/>
      <c r="KUK33" s="672"/>
      <c r="KUL33" s="672"/>
      <c r="KUM33" s="672"/>
      <c r="KUN33" s="672"/>
      <c r="KUO33" s="672"/>
      <c r="KUP33" s="672"/>
      <c r="KUQ33" s="672"/>
      <c r="KUR33" s="672"/>
      <c r="KUS33" s="672"/>
      <c r="KUT33" s="672"/>
      <c r="KUU33" s="672"/>
      <c r="KUV33" s="672"/>
      <c r="KUW33" s="672"/>
      <c r="KUX33" s="672"/>
      <c r="KUY33" s="672"/>
      <c r="KUZ33" s="672"/>
      <c r="KVA33" s="672"/>
      <c r="KVB33" s="672"/>
      <c r="KVC33" s="672"/>
      <c r="KVD33" s="672"/>
      <c r="KVE33" s="672"/>
      <c r="KVF33" s="672"/>
      <c r="KVG33" s="672"/>
      <c r="KVH33" s="672"/>
      <c r="KVI33" s="672"/>
      <c r="KVJ33" s="672"/>
      <c r="KVK33" s="672"/>
      <c r="KVL33" s="672"/>
      <c r="KVM33" s="672"/>
      <c r="KVN33" s="672"/>
      <c r="KVO33" s="672"/>
      <c r="KVP33" s="672"/>
      <c r="KVQ33" s="672"/>
      <c r="KVR33" s="672"/>
      <c r="KVS33" s="672"/>
      <c r="KVT33" s="672"/>
      <c r="KVU33" s="672"/>
      <c r="KVV33" s="672"/>
      <c r="KVW33" s="672"/>
      <c r="KVX33" s="672"/>
      <c r="KVY33" s="672"/>
      <c r="KVZ33" s="672"/>
      <c r="KWA33" s="672"/>
      <c r="KWB33" s="672"/>
      <c r="KWC33" s="672"/>
      <c r="KWD33" s="672"/>
      <c r="KWE33" s="672"/>
      <c r="KWF33" s="672"/>
      <c r="KWG33" s="672"/>
      <c r="KWH33" s="672"/>
      <c r="KWI33" s="672"/>
      <c r="KWJ33" s="672"/>
      <c r="KWK33" s="672"/>
      <c r="KWL33" s="672"/>
      <c r="KWM33" s="672"/>
      <c r="KWN33" s="672"/>
      <c r="KWO33" s="672"/>
      <c r="KWP33" s="672"/>
      <c r="KWQ33" s="672"/>
      <c r="KWR33" s="672"/>
      <c r="KWS33" s="672"/>
      <c r="KWT33" s="672"/>
      <c r="KWU33" s="672"/>
      <c r="KWV33" s="672"/>
      <c r="KWW33" s="672"/>
      <c r="KWX33" s="672"/>
      <c r="KWY33" s="672"/>
      <c r="KWZ33" s="672"/>
      <c r="KXA33" s="672"/>
      <c r="KXB33" s="672"/>
      <c r="KXC33" s="672"/>
      <c r="KXD33" s="672"/>
      <c r="KXE33" s="672"/>
      <c r="KXF33" s="672"/>
      <c r="KXG33" s="672"/>
      <c r="KXH33" s="672"/>
      <c r="KXI33" s="672"/>
      <c r="KXJ33" s="672"/>
      <c r="KXK33" s="672"/>
      <c r="KXL33" s="672"/>
      <c r="KXM33" s="672"/>
      <c r="KXN33" s="672"/>
      <c r="KXO33" s="672"/>
      <c r="KXP33" s="672"/>
      <c r="KXQ33" s="672"/>
      <c r="KXR33" s="672"/>
      <c r="KXS33" s="672"/>
      <c r="KXT33" s="672"/>
      <c r="KXU33" s="672"/>
      <c r="KXV33" s="672"/>
      <c r="KXW33" s="672"/>
      <c r="KXX33" s="672"/>
      <c r="KXY33" s="672"/>
      <c r="KXZ33" s="672"/>
      <c r="KYA33" s="672"/>
      <c r="KYB33" s="672"/>
      <c r="KYC33" s="672"/>
      <c r="KYD33" s="672"/>
      <c r="KYE33" s="672"/>
      <c r="KYF33" s="672"/>
      <c r="KYG33" s="672"/>
      <c r="KYH33" s="672"/>
      <c r="KYI33" s="672"/>
      <c r="KYJ33" s="672"/>
      <c r="KYK33" s="672"/>
      <c r="KYL33" s="672"/>
      <c r="KYM33" s="672"/>
      <c r="KYN33" s="672"/>
      <c r="KYO33" s="672"/>
      <c r="KYP33" s="672"/>
      <c r="KYQ33" s="672"/>
      <c r="KYR33" s="672"/>
      <c r="KYS33" s="672"/>
      <c r="KYT33" s="672"/>
      <c r="KYU33" s="672"/>
      <c r="KYV33" s="672"/>
      <c r="KYW33" s="672"/>
      <c r="KYX33" s="672"/>
      <c r="KYY33" s="672"/>
      <c r="KYZ33" s="672"/>
      <c r="KZA33" s="672"/>
      <c r="KZB33" s="672"/>
      <c r="KZC33" s="672"/>
      <c r="KZD33" s="672"/>
      <c r="KZE33" s="672"/>
      <c r="KZF33" s="672"/>
      <c r="KZG33" s="672"/>
      <c r="KZH33" s="672"/>
      <c r="KZI33" s="672"/>
      <c r="KZJ33" s="672"/>
      <c r="KZK33" s="672"/>
      <c r="KZL33" s="672"/>
      <c r="KZM33" s="672"/>
      <c r="KZN33" s="672"/>
      <c r="KZO33" s="672"/>
      <c r="KZP33" s="672"/>
      <c r="KZQ33" s="672"/>
      <c r="KZR33" s="672"/>
      <c r="KZS33" s="672"/>
      <c r="KZT33" s="672"/>
      <c r="KZU33" s="672"/>
      <c r="KZV33" s="672"/>
      <c r="KZW33" s="672"/>
      <c r="KZX33" s="672"/>
      <c r="KZY33" s="672"/>
      <c r="KZZ33" s="672"/>
      <c r="LAA33" s="672"/>
      <c r="LAB33" s="672"/>
      <c r="LAC33" s="672"/>
      <c r="LAD33" s="672"/>
      <c r="LAE33" s="672"/>
      <c r="LAF33" s="672"/>
      <c r="LAG33" s="672"/>
      <c r="LAH33" s="672"/>
      <c r="LAI33" s="672"/>
      <c r="LAJ33" s="672"/>
      <c r="LAK33" s="672"/>
      <c r="LAL33" s="672"/>
      <c r="LAM33" s="672"/>
      <c r="LAN33" s="672"/>
      <c r="LAO33" s="672"/>
      <c r="LAP33" s="672"/>
      <c r="LAQ33" s="672"/>
      <c r="LAR33" s="672"/>
      <c r="LAS33" s="672"/>
      <c r="LAT33" s="672"/>
      <c r="LAU33" s="672"/>
      <c r="LAV33" s="672"/>
      <c r="LAW33" s="672"/>
      <c r="LAX33" s="672"/>
      <c r="LAY33" s="672"/>
      <c r="LAZ33" s="672"/>
      <c r="LBA33" s="672"/>
      <c r="LBB33" s="672"/>
      <c r="LBC33" s="672"/>
      <c r="LBD33" s="672"/>
      <c r="LBE33" s="672"/>
      <c r="LBF33" s="672"/>
      <c r="LBG33" s="672"/>
      <c r="LBH33" s="672"/>
      <c r="LBI33" s="672"/>
      <c r="LBJ33" s="672"/>
      <c r="LBK33" s="672"/>
      <c r="LBL33" s="672"/>
      <c r="LBM33" s="672"/>
      <c r="LBN33" s="672"/>
      <c r="LBO33" s="672"/>
      <c r="LBP33" s="672"/>
      <c r="LBQ33" s="672"/>
      <c r="LBR33" s="672"/>
      <c r="LBS33" s="672"/>
      <c r="LBT33" s="672"/>
      <c r="LBU33" s="672"/>
      <c r="LBV33" s="672"/>
      <c r="LBW33" s="672"/>
      <c r="LBX33" s="672"/>
      <c r="LBY33" s="672"/>
      <c r="LBZ33" s="672"/>
      <c r="LCA33" s="672"/>
      <c r="LCB33" s="672"/>
      <c r="LCC33" s="672"/>
      <c r="LCD33" s="672"/>
      <c r="LCE33" s="672"/>
      <c r="LCF33" s="672"/>
      <c r="LCG33" s="672"/>
      <c r="LCH33" s="672"/>
      <c r="LCI33" s="672"/>
      <c r="LCJ33" s="672"/>
      <c r="LCK33" s="672"/>
      <c r="LCL33" s="672"/>
      <c r="LCM33" s="672"/>
      <c r="LCN33" s="672"/>
      <c r="LCO33" s="672"/>
      <c r="LCP33" s="672"/>
      <c r="LCQ33" s="672"/>
      <c r="LCR33" s="672"/>
      <c r="LCS33" s="672"/>
      <c r="LCT33" s="672"/>
      <c r="LCU33" s="672"/>
      <c r="LCV33" s="672"/>
      <c r="LCW33" s="672"/>
      <c r="LCX33" s="672"/>
      <c r="LCY33" s="672"/>
      <c r="LCZ33" s="672"/>
      <c r="LDA33" s="672"/>
      <c r="LDB33" s="672"/>
      <c r="LDC33" s="672"/>
      <c r="LDD33" s="672"/>
      <c r="LDE33" s="672"/>
      <c r="LDF33" s="672"/>
      <c r="LDG33" s="672"/>
      <c r="LDH33" s="672"/>
      <c r="LDI33" s="672"/>
      <c r="LDJ33" s="672"/>
      <c r="LDK33" s="672"/>
      <c r="LDL33" s="672"/>
      <c r="LDM33" s="672"/>
      <c r="LDN33" s="672"/>
      <c r="LDO33" s="672"/>
      <c r="LDP33" s="672"/>
      <c r="LDQ33" s="672"/>
      <c r="LDR33" s="672"/>
      <c r="LDS33" s="672"/>
      <c r="LDT33" s="672"/>
      <c r="LDU33" s="672"/>
      <c r="LDV33" s="672"/>
      <c r="LDW33" s="672"/>
      <c r="LDX33" s="672"/>
      <c r="LDY33" s="672"/>
      <c r="LDZ33" s="672"/>
      <c r="LEA33" s="672"/>
      <c r="LEB33" s="672"/>
      <c r="LEC33" s="672"/>
      <c r="LED33" s="672"/>
      <c r="LEE33" s="672"/>
      <c r="LEF33" s="672"/>
      <c r="LEG33" s="672"/>
      <c r="LEH33" s="672"/>
      <c r="LEI33" s="672"/>
      <c r="LEJ33" s="672"/>
      <c r="LEK33" s="672"/>
      <c r="LEL33" s="672"/>
      <c r="LEM33" s="672"/>
      <c r="LEN33" s="672"/>
      <c r="LEO33" s="672"/>
      <c r="LEP33" s="672"/>
      <c r="LEQ33" s="672"/>
      <c r="LER33" s="672"/>
      <c r="LES33" s="672"/>
      <c r="LET33" s="672"/>
      <c r="LEU33" s="672"/>
      <c r="LEV33" s="672"/>
      <c r="LEW33" s="672"/>
      <c r="LEX33" s="672"/>
      <c r="LEY33" s="672"/>
      <c r="LEZ33" s="672"/>
      <c r="LFA33" s="672"/>
      <c r="LFB33" s="672"/>
      <c r="LFC33" s="672"/>
      <c r="LFD33" s="672"/>
      <c r="LFE33" s="672"/>
      <c r="LFF33" s="672"/>
      <c r="LFG33" s="672"/>
      <c r="LFH33" s="672"/>
      <c r="LFI33" s="672"/>
      <c r="LFJ33" s="672"/>
      <c r="LFK33" s="672"/>
      <c r="LFL33" s="672"/>
      <c r="LFM33" s="672"/>
      <c r="LFN33" s="672"/>
      <c r="LFO33" s="672"/>
      <c r="LFP33" s="672"/>
      <c r="LFQ33" s="672"/>
      <c r="LFR33" s="672"/>
      <c r="LFS33" s="672"/>
      <c r="LFT33" s="672"/>
      <c r="LFU33" s="672"/>
      <c r="LFV33" s="672"/>
      <c r="LFW33" s="672"/>
      <c r="LFX33" s="672"/>
      <c r="LFY33" s="672"/>
      <c r="LFZ33" s="672"/>
      <c r="LGA33" s="672"/>
      <c r="LGB33" s="672"/>
      <c r="LGC33" s="672"/>
      <c r="LGD33" s="672"/>
      <c r="LGE33" s="672"/>
      <c r="LGF33" s="672"/>
      <c r="LGG33" s="672"/>
      <c r="LGH33" s="672"/>
      <c r="LGI33" s="672"/>
      <c r="LGJ33" s="672"/>
      <c r="LGK33" s="672"/>
      <c r="LGL33" s="672"/>
      <c r="LGM33" s="672"/>
      <c r="LGN33" s="672"/>
      <c r="LGO33" s="672"/>
      <c r="LGP33" s="672"/>
      <c r="LGQ33" s="672"/>
      <c r="LGR33" s="672"/>
      <c r="LGS33" s="672"/>
      <c r="LGT33" s="672"/>
      <c r="LGU33" s="672"/>
      <c r="LGV33" s="672"/>
      <c r="LGW33" s="672"/>
      <c r="LGX33" s="672"/>
      <c r="LGY33" s="672"/>
      <c r="LGZ33" s="672"/>
      <c r="LHA33" s="672"/>
      <c r="LHB33" s="672"/>
      <c r="LHC33" s="672"/>
      <c r="LHD33" s="672"/>
      <c r="LHE33" s="672"/>
      <c r="LHF33" s="672"/>
      <c r="LHG33" s="672"/>
      <c r="LHH33" s="672"/>
      <c r="LHI33" s="672"/>
      <c r="LHJ33" s="672"/>
      <c r="LHK33" s="672"/>
      <c r="LHL33" s="672"/>
      <c r="LHM33" s="672"/>
      <c r="LHN33" s="672"/>
      <c r="LHO33" s="672"/>
      <c r="LHP33" s="672"/>
      <c r="LHQ33" s="672"/>
      <c r="LHR33" s="672"/>
      <c r="LHS33" s="672"/>
      <c r="LHT33" s="672"/>
      <c r="LHU33" s="672"/>
      <c r="LHV33" s="672"/>
      <c r="LHW33" s="672"/>
      <c r="LHX33" s="672"/>
      <c r="LHY33" s="672"/>
      <c r="LHZ33" s="672"/>
      <c r="LIA33" s="672"/>
      <c r="LIB33" s="672"/>
      <c r="LIC33" s="672"/>
      <c r="LID33" s="672"/>
      <c r="LIE33" s="672"/>
      <c r="LIF33" s="672"/>
      <c r="LIG33" s="672"/>
      <c r="LIH33" s="672"/>
      <c r="LII33" s="672"/>
      <c r="LIJ33" s="672"/>
      <c r="LIK33" s="672"/>
      <c r="LIL33" s="672"/>
      <c r="LIM33" s="672"/>
      <c r="LIN33" s="672"/>
      <c r="LIO33" s="672"/>
      <c r="LIP33" s="672"/>
      <c r="LIQ33" s="672"/>
      <c r="LIR33" s="672"/>
      <c r="LIS33" s="672"/>
      <c r="LIT33" s="672"/>
      <c r="LIU33" s="672"/>
      <c r="LIV33" s="672"/>
      <c r="LIW33" s="672"/>
      <c r="LIX33" s="672"/>
      <c r="LIY33" s="672"/>
      <c r="LIZ33" s="672"/>
      <c r="LJA33" s="672"/>
      <c r="LJB33" s="672"/>
      <c r="LJC33" s="672"/>
      <c r="LJD33" s="672"/>
      <c r="LJE33" s="672"/>
      <c r="LJF33" s="672"/>
      <c r="LJG33" s="672"/>
      <c r="LJH33" s="672"/>
      <c r="LJI33" s="672"/>
      <c r="LJJ33" s="672"/>
      <c r="LJK33" s="672"/>
      <c r="LJL33" s="672"/>
      <c r="LJM33" s="672"/>
      <c r="LJN33" s="672"/>
      <c r="LJO33" s="672"/>
      <c r="LJP33" s="672"/>
      <c r="LJQ33" s="672"/>
      <c r="LJR33" s="672"/>
      <c r="LJS33" s="672"/>
      <c r="LJT33" s="672"/>
      <c r="LJU33" s="672"/>
      <c r="LJV33" s="672"/>
      <c r="LJW33" s="672"/>
      <c r="LJX33" s="672"/>
      <c r="LJY33" s="672"/>
      <c r="LJZ33" s="672"/>
      <c r="LKA33" s="672"/>
      <c r="LKB33" s="672"/>
      <c r="LKC33" s="672"/>
      <c r="LKD33" s="672"/>
      <c r="LKE33" s="672"/>
      <c r="LKF33" s="672"/>
      <c r="LKG33" s="672"/>
      <c r="LKH33" s="672"/>
      <c r="LKI33" s="672"/>
      <c r="LKJ33" s="672"/>
      <c r="LKK33" s="672"/>
      <c r="LKL33" s="672"/>
      <c r="LKM33" s="672"/>
      <c r="LKN33" s="672"/>
      <c r="LKO33" s="672"/>
      <c r="LKP33" s="672"/>
      <c r="LKQ33" s="672"/>
      <c r="LKR33" s="672"/>
      <c r="LKS33" s="672"/>
      <c r="LKT33" s="672"/>
      <c r="LKU33" s="672"/>
      <c r="LKV33" s="672"/>
      <c r="LKW33" s="672"/>
      <c r="LKX33" s="672"/>
      <c r="LKY33" s="672"/>
      <c r="LKZ33" s="672"/>
      <c r="LLA33" s="672"/>
      <c r="LLB33" s="672"/>
      <c r="LLC33" s="672"/>
      <c r="LLD33" s="672"/>
      <c r="LLE33" s="672"/>
      <c r="LLF33" s="672"/>
      <c r="LLG33" s="672"/>
      <c r="LLH33" s="672"/>
      <c r="LLI33" s="672"/>
      <c r="LLJ33" s="672"/>
      <c r="LLK33" s="672"/>
      <c r="LLL33" s="672"/>
      <c r="LLM33" s="672"/>
      <c r="LLN33" s="672"/>
      <c r="LLO33" s="672"/>
      <c r="LLP33" s="672"/>
      <c r="LLQ33" s="672"/>
      <c r="LLR33" s="672"/>
      <c r="LLS33" s="672"/>
      <c r="LLT33" s="672"/>
      <c r="LLU33" s="672"/>
      <c r="LLV33" s="672"/>
      <c r="LLW33" s="672"/>
      <c r="LLX33" s="672"/>
      <c r="LLY33" s="672"/>
      <c r="LLZ33" s="672"/>
      <c r="LMA33" s="672"/>
      <c r="LMB33" s="672"/>
      <c r="LMC33" s="672"/>
      <c r="LMD33" s="672"/>
      <c r="LME33" s="672"/>
      <c r="LMF33" s="672"/>
      <c r="LMG33" s="672"/>
      <c r="LMH33" s="672"/>
      <c r="LMI33" s="672"/>
      <c r="LMJ33" s="672"/>
      <c r="LMK33" s="672"/>
      <c r="LML33" s="672"/>
      <c r="LMM33" s="672"/>
      <c r="LMN33" s="672"/>
      <c r="LMO33" s="672"/>
      <c r="LMP33" s="672"/>
      <c r="LMQ33" s="672"/>
      <c r="LMR33" s="672"/>
      <c r="LMS33" s="672"/>
      <c r="LMT33" s="672"/>
      <c r="LMU33" s="672"/>
      <c r="LMV33" s="672"/>
      <c r="LMW33" s="672"/>
      <c r="LMX33" s="672"/>
      <c r="LMY33" s="672"/>
      <c r="LMZ33" s="672"/>
      <c r="LNA33" s="672"/>
      <c r="LNB33" s="672"/>
      <c r="LNC33" s="672"/>
      <c r="LND33" s="672"/>
      <c r="LNE33" s="672"/>
      <c r="LNF33" s="672"/>
      <c r="LNG33" s="672"/>
      <c r="LNH33" s="672"/>
      <c r="LNI33" s="672"/>
      <c r="LNJ33" s="672"/>
      <c r="LNK33" s="672"/>
      <c r="LNL33" s="672"/>
      <c r="LNM33" s="672"/>
      <c r="LNN33" s="672"/>
      <c r="LNO33" s="672"/>
      <c r="LNP33" s="672"/>
      <c r="LNQ33" s="672"/>
      <c r="LNR33" s="672"/>
      <c r="LNS33" s="672"/>
      <c r="LNT33" s="672"/>
      <c r="LNU33" s="672"/>
      <c r="LNV33" s="672"/>
      <c r="LNW33" s="672"/>
      <c r="LNX33" s="672"/>
      <c r="LNY33" s="672"/>
      <c r="LNZ33" s="672"/>
      <c r="LOA33" s="672"/>
      <c r="LOB33" s="672"/>
      <c r="LOC33" s="672"/>
      <c r="LOD33" s="672"/>
      <c r="LOE33" s="672"/>
      <c r="LOF33" s="672"/>
      <c r="LOG33" s="672"/>
      <c r="LOH33" s="672"/>
      <c r="LOI33" s="672"/>
      <c r="LOJ33" s="672"/>
      <c r="LOK33" s="672"/>
      <c r="LOL33" s="672"/>
      <c r="LOM33" s="672"/>
      <c r="LON33" s="672"/>
      <c r="LOO33" s="672"/>
      <c r="LOP33" s="672"/>
      <c r="LOQ33" s="672"/>
      <c r="LOR33" s="672"/>
      <c r="LOS33" s="672"/>
      <c r="LOT33" s="672"/>
      <c r="LOU33" s="672"/>
      <c r="LOV33" s="672"/>
      <c r="LOW33" s="672"/>
      <c r="LOX33" s="672"/>
      <c r="LOY33" s="672"/>
      <c r="LOZ33" s="672"/>
      <c r="LPA33" s="672"/>
      <c r="LPB33" s="672"/>
      <c r="LPC33" s="672"/>
      <c r="LPD33" s="672"/>
      <c r="LPE33" s="672"/>
      <c r="LPF33" s="672"/>
      <c r="LPG33" s="672"/>
      <c r="LPH33" s="672"/>
      <c r="LPI33" s="672"/>
      <c r="LPJ33" s="672"/>
      <c r="LPK33" s="672"/>
      <c r="LPL33" s="672"/>
      <c r="LPM33" s="672"/>
      <c r="LPN33" s="672"/>
      <c r="LPO33" s="672"/>
      <c r="LPP33" s="672"/>
      <c r="LPQ33" s="672"/>
      <c r="LPR33" s="672"/>
      <c r="LPS33" s="672"/>
      <c r="LPT33" s="672"/>
      <c r="LPU33" s="672"/>
      <c r="LPV33" s="672"/>
      <c r="LPW33" s="672"/>
      <c r="LPX33" s="672"/>
      <c r="LPY33" s="672"/>
      <c r="LPZ33" s="672"/>
      <c r="LQA33" s="672"/>
      <c r="LQB33" s="672"/>
      <c r="LQC33" s="672"/>
      <c r="LQD33" s="672"/>
      <c r="LQE33" s="672"/>
      <c r="LQF33" s="672"/>
      <c r="LQG33" s="672"/>
      <c r="LQH33" s="672"/>
      <c r="LQI33" s="672"/>
      <c r="LQJ33" s="672"/>
      <c r="LQK33" s="672"/>
      <c r="LQL33" s="672"/>
      <c r="LQM33" s="672"/>
      <c r="LQN33" s="672"/>
      <c r="LQO33" s="672"/>
      <c r="LQP33" s="672"/>
      <c r="LQQ33" s="672"/>
      <c r="LQR33" s="672"/>
      <c r="LQS33" s="672"/>
      <c r="LQT33" s="672"/>
      <c r="LQU33" s="672"/>
      <c r="LQV33" s="672"/>
      <c r="LQW33" s="672"/>
      <c r="LQX33" s="672"/>
      <c r="LQY33" s="672"/>
      <c r="LQZ33" s="672"/>
      <c r="LRA33" s="672"/>
      <c r="LRB33" s="672"/>
      <c r="LRC33" s="672"/>
      <c r="LRD33" s="672"/>
      <c r="LRE33" s="672"/>
      <c r="LRF33" s="672"/>
      <c r="LRG33" s="672"/>
      <c r="LRH33" s="672"/>
      <c r="LRI33" s="672"/>
      <c r="LRJ33" s="672"/>
      <c r="LRK33" s="672"/>
      <c r="LRL33" s="672"/>
      <c r="LRM33" s="672"/>
      <c r="LRN33" s="672"/>
      <c r="LRO33" s="672"/>
      <c r="LRP33" s="672"/>
      <c r="LRQ33" s="672"/>
      <c r="LRR33" s="672"/>
      <c r="LRS33" s="672"/>
      <c r="LRT33" s="672"/>
      <c r="LRU33" s="672"/>
      <c r="LRV33" s="672"/>
      <c r="LRW33" s="672"/>
      <c r="LRX33" s="672"/>
      <c r="LRY33" s="672"/>
      <c r="LRZ33" s="672"/>
      <c r="LSA33" s="672"/>
      <c r="LSB33" s="672"/>
      <c r="LSC33" s="672"/>
      <c r="LSD33" s="672"/>
      <c r="LSE33" s="672"/>
      <c r="LSF33" s="672"/>
      <c r="LSG33" s="672"/>
      <c r="LSH33" s="672"/>
      <c r="LSI33" s="672"/>
      <c r="LSJ33" s="672"/>
      <c r="LSK33" s="672"/>
      <c r="LSL33" s="672"/>
      <c r="LSM33" s="672"/>
      <c r="LSN33" s="672"/>
      <c r="LSO33" s="672"/>
      <c r="LSP33" s="672"/>
      <c r="LSQ33" s="672"/>
      <c r="LSR33" s="672"/>
      <c r="LSS33" s="672"/>
      <c r="LST33" s="672"/>
      <c r="LSU33" s="672"/>
      <c r="LSV33" s="672"/>
      <c r="LSW33" s="672"/>
      <c r="LSX33" s="672"/>
      <c r="LSY33" s="672"/>
      <c r="LSZ33" s="672"/>
      <c r="LTA33" s="672"/>
      <c r="LTB33" s="672"/>
      <c r="LTC33" s="672"/>
      <c r="LTD33" s="672"/>
      <c r="LTE33" s="672"/>
      <c r="LTF33" s="672"/>
      <c r="LTG33" s="672"/>
      <c r="LTH33" s="672"/>
      <c r="LTI33" s="672"/>
      <c r="LTJ33" s="672"/>
      <c r="LTK33" s="672"/>
      <c r="LTL33" s="672"/>
      <c r="LTM33" s="672"/>
      <c r="LTN33" s="672"/>
      <c r="LTO33" s="672"/>
      <c r="LTP33" s="672"/>
      <c r="LTQ33" s="672"/>
      <c r="LTR33" s="672"/>
      <c r="LTS33" s="672"/>
      <c r="LTT33" s="672"/>
      <c r="LTU33" s="672"/>
      <c r="LTV33" s="672"/>
      <c r="LTW33" s="672"/>
      <c r="LTX33" s="672"/>
      <c r="LTY33" s="672"/>
      <c r="LTZ33" s="672"/>
      <c r="LUA33" s="672"/>
      <c r="LUB33" s="672"/>
      <c r="LUC33" s="672"/>
      <c r="LUD33" s="672"/>
      <c r="LUE33" s="672"/>
      <c r="LUF33" s="672"/>
      <c r="LUG33" s="672"/>
      <c r="LUH33" s="672"/>
      <c r="LUI33" s="672"/>
      <c r="LUJ33" s="672"/>
      <c r="LUK33" s="672"/>
      <c r="LUL33" s="672"/>
      <c r="LUM33" s="672"/>
      <c r="LUN33" s="672"/>
      <c r="LUO33" s="672"/>
      <c r="LUP33" s="672"/>
      <c r="LUQ33" s="672"/>
      <c r="LUR33" s="672"/>
      <c r="LUS33" s="672"/>
      <c r="LUT33" s="672"/>
      <c r="LUU33" s="672"/>
      <c r="LUV33" s="672"/>
      <c r="LUW33" s="672"/>
      <c r="LUX33" s="672"/>
      <c r="LUY33" s="672"/>
      <c r="LUZ33" s="672"/>
      <c r="LVA33" s="672"/>
      <c r="LVB33" s="672"/>
      <c r="LVC33" s="672"/>
      <c r="LVD33" s="672"/>
      <c r="LVE33" s="672"/>
      <c r="LVF33" s="672"/>
      <c r="LVG33" s="672"/>
      <c r="LVH33" s="672"/>
      <c r="LVI33" s="672"/>
      <c r="LVJ33" s="672"/>
      <c r="LVK33" s="672"/>
      <c r="LVL33" s="672"/>
      <c r="LVM33" s="672"/>
      <c r="LVN33" s="672"/>
      <c r="LVO33" s="672"/>
      <c r="LVP33" s="672"/>
      <c r="LVQ33" s="672"/>
      <c r="LVR33" s="672"/>
      <c r="LVS33" s="672"/>
      <c r="LVT33" s="672"/>
      <c r="LVU33" s="672"/>
      <c r="LVV33" s="672"/>
      <c r="LVW33" s="672"/>
      <c r="LVX33" s="672"/>
      <c r="LVY33" s="672"/>
      <c r="LVZ33" s="672"/>
      <c r="LWA33" s="672"/>
      <c r="LWB33" s="672"/>
      <c r="LWC33" s="672"/>
      <c r="LWD33" s="672"/>
      <c r="LWE33" s="672"/>
      <c r="LWF33" s="672"/>
      <c r="LWG33" s="672"/>
      <c r="LWH33" s="672"/>
      <c r="LWI33" s="672"/>
      <c r="LWJ33" s="672"/>
      <c r="LWK33" s="672"/>
      <c r="LWL33" s="672"/>
      <c r="LWM33" s="672"/>
      <c r="LWN33" s="672"/>
      <c r="LWO33" s="672"/>
      <c r="LWP33" s="672"/>
      <c r="LWQ33" s="672"/>
      <c r="LWR33" s="672"/>
      <c r="LWS33" s="672"/>
      <c r="LWT33" s="672"/>
      <c r="LWU33" s="672"/>
      <c r="LWV33" s="672"/>
      <c r="LWW33" s="672"/>
      <c r="LWX33" s="672"/>
      <c r="LWY33" s="672"/>
      <c r="LWZ33" s="672"/>
      <c r="LXA33" s="672"/>
      <c r="LXB33" s="672"/>
      <c r="LXC33" s="672"/>
      <c r="LXD33" s="672"/>
      <c r="LXE33" s="672"/>
      <c r="LXF33" s="672"/>
      <c r="LXG33" s="672"/>
      <c r="LXH33" s="672"/>
      <c r="LXI33" s="672"/>
      <c r="LXJ33" s="672"/>
      <c r="LXK33" s="672"/>
      <c r="LXL33" s="672"/>
      <c r="LXM33" s="672"/>
      <c r="LXN33" s="672"/>
      <c r="LXO33" s="672"/>
      <c r="LXP33" s="672"/>
      <c r="LXQ33" s="672"/>
      <c r="LXR33" s="672"/>
      <c r="LXS33" s="672"/>
      <c r="LXT33" s="672"/>
      <c r="LXU33" s="672"/>
      <c r="LXV33" s="672"/>
      <c r="LXW33" s="672"/>
      <c r="LXX33" s="672"/>
      <c r="LXY33" s="672"/>
      <c r="LXZ33" s="672"/>
      <c r="LYA33" s="672"/>
      <c r="LYB33" s="672"/>
      <c r="LYC33" s="672"/>
      <c r="LYD33" s="672"/>
      <c r="LYE33" s="672"/>
      <c r="LYF33" s="672"/>
      <c r="LYG33" s="672"/>
      <c r="LYH33" s="672"/>
      <c r="LYI33" s="672"/>
      <c r="LYJ33" s="672"/>
      <c r="LYK33" s="672"/>
      <c r="LYL33" s="672"/>
      <c r="LYM33" s="672"/>
      <c r="LYN33" s="672"/>
      <c r="LYO33" s="672"/>
      <c r="LYP33" s="672"/>
      <c r="LYQ33" s="672"/>
      <c r="LYR33" s="672"/>
      <c r="LYS33" s="672"/>
      <c r="LYT33" s="672"/>
      <c r="LYU33" s="672"/>
      <c r="LYV33" s="672"/>
      <c r="LYW33" s="672"/>
      <c r="LYX33" s="672"/>
      <c r="LYY33" s="672"/>
      <c r="LYZ33" s="672"/>
      <c r="LZA33" s="672"/>
      <c r="LZB33" s="672"/>
      <c r="LZC33" s="672"/>
      <c r="LZD33" s="672"/>
      <c r="LZE33" s="672"/>
      <c r="LZF33" s="672"/>
      <c r="LZG33" s="672"/>
      <c r="LZH33" s="672"/>
      <c r="LZI33" s="672"/>
      <c r="LZJ33" s="672"/>
      <c r="LZK33" s="672"/>
      <c r="LZL33" s="672"/>
      <c r="LZM33" s="672"/>
      <c r="LZN33" s="672"/>
      <c r="LZO33" s="672"/>
      <c r="LZP33" s="672"/>
      <c r="LZQ33" s="672"/>
      <c r="LZR33" s="672"/>
      <c r="LZS33" s="672"/>
      <c r="LZT33" s="672"/>
      <c r="LZU33" s="672"/>
      <c r="LZV33" s="672"/>
      <c r="LZW33" s="672"/>
      <c r="LZX33" s="672"/>
      <c r="LZY33" s="672"/>
      <c r="LZZ33" s="672"/>
      <c r="MAA33" s="672"/>
      <c r="MAB33" s="672"/>
      <c r="MAC33" s="672"/>
      <c r="MAD33" s="672"/>
      <c r="MAE33" s="672"/>
      <c r="MAF33" s="672"/>
      <c r="MAG33" s="672"/>
      <c r="MAH33" s="672"/>
      <c r="MAI33" s="672"/>
      <c r="MAJ33" s="672"/>
      <c r="MAK33" s="672"/>
      <c r="MAL33" s="672"/>
      <c r="MAM33" s="672"/>
      <c r="MAN33" s="672"/>
      <c r="MAO33" s="672"/>
      <c r="MAP33" s="672"/>
      <c r="MAQ33" s="672"/>
      <c r="MAR33" s="672"/>
      <c r="MAS33" s="672"/>
      <c r="MAT33" s="672"/>
      <c r="MAU33" s="672"/>
      <c r="MAV33" s="672"/>
      <c r="MAW33" s="672"/>
      <c r="MAX33" s="672"/>
      <c r="MAY33" s="672"/>
      <c r="MAZ33" s="672"/>
      <c r="MBA33" s="672"/>
      <c r="MBB33" s="672"/>
      <c r="MBC33" s="672"/>
      <c r="MBD33" s="672"/>
      <c r="MBE33" s="672"/>
      <c r="MBF33" s="672"/>
      <c r="MBG33" s="672"/>
      <c r="MBH33" s="672"/>
      <c r="MBI33" s="672"/>
      <c r="MBJ33" s="672"/>
      <c r="MBK33" s="672"/>
      <c r="MBL33" s="672"/>
      <c r="MBM33" s="672"/>
      <c r="MBN33" s="672"/>
      <c r="MBO33" s="672"/>
      <c r="MBP33" s="672"/>
      <c r="MBQ33" s="672"/>
      <c r="MBR33" s="672"/>
      <c r="MBS33" s="672"/>
      <c r="MBT33" s="672"/>
      <c r="MBU33" s="672"/>
      <c r="MBV33" s="672"/>
      <c r="MBW33" s="672"/>
      <c r="MBX33" s="672"/>
      <c r="MBY33" s="672"/>
      <c r="MBZ33" s="672"/>
      <c r="MCA33" s="672"/>
      <c r="MCB33" s="672"/>
      <c r="MCC33" s="672"/>
      <c r="MCD33" s="672"/>
      <c r="MCE33" s="672"/>
      <c r="MCF33" s="672"/>
      <c r="MCG33" s="672"/>
      <c r="MCH33" s="672"/>
      <c r="MCI33" s="672"/>
      <c r="MCJ33" s="672"/>
      <c r="MCK33" s="672"/>
      <c r="MCL33" s="672"/>
      <c r="MCM33" s="672"/>
      <c r="MCN33" s="672"/>
      <c r="MCO33" s="672"/>
      <c r="MCP33" s="672"/>
      <c r="MCQ33" s="672"/>
      <c r="MCR33" s="672"/>
      <c r="MCS33" s="672"/>
      <c r="MCT33" s="672"/>
      <c r="MCU33" s="672"/>
      <c r="MCV33" s="672"/>
      <c r="MCW33" s="672"/>
      <c r="MCX33" s="672"/>
      <c r="MCY33" s="672"/>
      <c r="MCZ33" s="672"/>
      <c r="MDA33" s="672"/>
      <c r="MDB33" s="672"/>
      <c r="MDC33" s="672"/>
      <c r="MDD33" s="672"/>
      <c r="MDE33" s="672"/>
      <c r="MDF33" s="672"/>
      <c r="MDG33" s="672"/>
      <c r="MDH33" s="672"/>
      <c r="MDI33" s="672"/>
      <c r="MDJ33" s="672"/>
      <c r="MDK33" s="672"/>
      <c r="MDL33" s="672"/>
      <c r="MDM33" s="672"/>
      <c r="MDN33" s="672"/>
      <c r="MDO33" s="672"/>
      <c r="MDP33" s="672"/>
      <c r="MDQ33" s="672"/>
      <c r="MDR33" s="672"/>
      <c r="MDS33" s="672"/>
      <c r="MDT33" s="672"/>
      <c r="MDU33" s="672"/>
      <c r="MDV33" s="672"/>
      <c r="MDW33" s="672"/>
      <c r="MDX33" s="672"/>
      <c r="MDY33" s="672"/>
      <c r="MDZ33" s="672"/>
      <c r="MEA33" s="672"/>
      <c r="MEB33" s="672"/>
      <c r="MEC33" s="672"/>
      <c r="MED33" s="672"/>
      <c r="MEE33" s="672"/>
      <c r="MEF33" s="672"/>
      <c r="MEG33" s="672"/>
      <c r="MEH33" s="672"/>
      <c r="MEI33" s="672"/>
      <c r="MEJ33" s="672"/>
      <c r="MEK33" s="672"/>
      <c r="MEL33" s="672"/>
      <c r="MEM33" s="672"/>
      <c r="MEN33" s="672"/>
      <c r="MEO33" s="672"/>
      <c r="MEP33" s="672"/>
      <c r="MEQ33" s="672"/>
      <c r="MER33" s="672"/>
      <c r="MES33" s="672"/>
      <c r="MET33" s="672"/>
      <c r="MEU33" s="672"/>
      <c r="MEV33" s="672"/>
      <c r="MEW33" s="672"/>
      <c r="MEX33" s="672"/>
      <c r="MEY33" s="672"/>
      <c r="MEZ33" s="672"/>
      <c r="MFA33" s="672"/>
      <c r="MFB33" s="672"/>
      <c r="MFC33" s="672"/>
      <c r="MFD33" s="672"/>
      <c r="MFE33" s="672"/>
      <c r="MFF33" s="672"/>
      <c r="MFG33" s="672"/>
      <c r="MFH33" s="672"/>
      <c r="MFI33" s="672"/>
      <c r="MFJ33" s="672"/>
      <c r="MFK33" s="672"/>
      <c r="MFL33" s="672"/>
      <c r="MFM33" s="672"/>
      <c r="MFN33" s="672"/>
      <c r="MFO33" s="672"/>
      <c r="MFP33" s="672"/>
      <c r="MFQ33" s="672"/>
      <c r="MFR33" s="672"/>
      <c r="MFS33" s="672"/>
      <c r="MFT33" s="672"/>
      <c r="MFU33" s="672"/>
      <c r="MFV33" s="672"/>
      <c r="MFW33" s="672"/>
      <c r="MFX33" s="672"/>
      <c r="MFY33" s="672"/>
      <c r="MFZ33" s="672"/>
      <c r="MGA33" s="672"/>
      <c r="MGB33" s="672"/>
      <c r="MGC33" s="672"/>
      <c r="MGD33" s="672"/>
      <c r="MGE33" s="672"/>
      <c r="MGF33" s="672"/>
      <c r="MGG33" s="672"/>
      <c r="MGH33" s="672"/>
      <c r="MGI33" s="672"/>
      <c r="MGJ33" s="672"/>
      <c r="MGK33" s="672"/>
      <c r="MGL33" s="672"/>
      <c r="MGM33" s="672"/>
      <c r="MGN33" s="672"/>
      <c r="MGO33" s="672"/>
      <c r="MGP33" s="672"/>
      <c r="MGQ33" s="672"/>
      <c r="MGR33" s="672"/>
      <c r="MGS33" s="672"/>
      <c r="MGT33" s="672"/>
      <c r="MGU33" s="672"/>
      <c r="MGV33" s="672"/>
      <c r="MGW33" s="672"/>
      <c r="MGX33" s="672"/>
      <c r="MGY33" s="672"/>
      <c r="MGZ33" s="672"/>
      <c r="MHA33" s="672"/>
      <c r="MHB33" s="672"/>
      <c r="MHC33" s="672"/>
      <c r="MHD33" s="672"/>
      <c r="MHE33" s="672"/>
      <c r="MHF33" s="672"/>
      <c r="MHG33" s="672"/>
      <c r="MHH33" s="672"/>
      <c r="MHI33" s="672"/>
      <c r="MHJ33" s="672"/>
      <c r="MHK33" s="672"/>
      <c r="MHL33" s="672"/>
      <c r="MHM33" s="672"/>
      <c r="MHN33" s="672"/>
      <c r="MHO33" s="672"/>
      <c r="MHP33" s="672"/>
      <c r="MHQ33" s="672"/>
      <c r="MHR33" s="672"/>
      <c r="MHS33" s="672"/>
      <c r="MHT33" s="672"/>
      <c r="MHU33" s="672"/>
      <c r="MHV33" s="672"/>
      <c r="MHW33" s="672"/>
      <c r="MHX33" s="672"/>
      <c r="MHY33" s="672"/>
      <c r="MHZ33" s="672"/>
      <c r="MIA33" s="672"/>
      <c r="MIB33" s="672"/>
      <c r="MIC33" s="672"/>
      <c r="MID33" s="672"/>
      <c r="MIE33" s="672"/>
      <c r="MIF33" s="672"/>
      <c r="MIG33" s="672"/>
      <c r="MIH33" s="672"/>
      <c r="MII33" s="672"/>
      <c r="MIJ33" s="672"/>
      <c r="MIK33" s="672"/>
      <c r="MIL33" s="672"/>
      <c r="MIM33" s="672"/>
      <c r="MIN33" s="672"/>
      <c r="MIO33" s="672"/>
      <c r="MIP33" s="672"/>
      <c r="MIQ33" s="672"/>
      <c r="MIR33" s="672"/>
      <c r="MIS33" s="672"/>
      <c r="MIT33" s="672"/>
      <c r="MIU33" s="672"/>
      <c r="MIV33" s="672"/>
      <c r="MIW33" s="672"/>
      <c r="MIX33" s="672"/>
      <c r="MIY33" s="672"/>
      <c r="MIZ33" s="672"/>
      <c r="MJA33" s="672"/>
      <c r="MJB33" s="672"/>
      <c r="MJC33" s="672"/>
      <c r="MJD33" s="672"/>
      <c r="MJE33" s="672"/>
      <c r="MJF33" s="672"/>
      <c r="MJG33" s="672"/>
      <c r="MJH33" s="672"/>
      <c r="MJI33" s="672"/>
      <c r="MJJ33" s="672"/>
      <c r="MJK33" s="672"/>
      <c r="MJL33" s="672"/>
      <c r="MJM33" s="672"/>
      <c r="MJN33" s="672"/>
      <c r="MJO33" s="672"/>
      <c r="MJP33" s="672"/>
      <c r="MJQ33" s="672"/>
      <c r="MJR33" s="672"/>
      <c r="MJS33" s="672"/>
      <c r="MJT33" s="672"/>
      <c r="MJU33" s="672"/>
      <c r="MJV33" s="672"/>
      <c r="MJW33" s="672"/>
      <c r="MJX33" s="672"/>
      <c r="MJY33" s="672"/>
      <c r="MJZ33" s="672"/>
      <c r="MKA33" s="672"/>
      <c r="MKB33" s="672"/>
      <c r="MKC33" s="672"/>
      <c r="MKD33" s="672"/>
      <c r="MKE33" s="672"/>
      <c r="MKF33" s="672"/>
      <c r="MKG33" s="672"/>
      <c r="MKH33" s="672"/>
      <c r="MKI33" s="672"/>
      <c r="MKJ33" s="672"/>
      <c r="MKK33" s="672"/>
      <c r="MKL33" s="672"/>
      <c r="MKM33" s="672"/>
      <c r="MKN33" s="672"/>
      <c r="MKO33" s="672"/>
      <c r="MKP33" s="672"/>
      <c r="MKQ33" s="672"/>
      <c r="MKR33" s="672"/>
      <c r="MKS33" s="672"/>
      <c r="MKT33" s="672"/>
      <c r="MKU33" s="672"/>
      <c r="MKV33" s="672"/>
      <c r="MKW33" s="672"/>
      <c r="MKX33" s="672"/>
      <c r="MKY33" s="672"/>
      <c r="MKZ33" s="672"/>
      <c r="MLA33" s="672"/>
      <c r="MLB33" s="672"/>
      <c r="MLC33" s="672"/>
      <c r="MLD33" s="672"/>
      <c r="MLE33" s="672"/>
      <c r="MLF33" s="672"/>
      <c r="MLG33" s="672"/>
      <c r="MLH33" s="672"/>
      <c r="MLI33" s="672"/>
      <c r="MLJ33" s="672"/>
      <c r="MLK33" s="672"/>
      <c r="MLL33" s="672"/>
      <c r="MLM33" s="672"/>
      <c r="MLN33" s="672"/>
      <c r="MLO33" s="672"/>
      <c r="MLP33" s="672"/>
      <c r="MLQ33" s="672"/>
      <c r="MLR33" s="672"/>
      <c r="MLS33" s="672"/>
      <c r="MLT33" s="672"/>
      <c r="MLU33" s="672"/>
      <c r="MLV33" s="672"/>
      <c r="MLW33" s="672"/>
      <c r="MLX33" s="672"/>
      <c r="MLY33" s="672"/>
      <c r="MLZ33" s="672"/>
      <c r="MMA33" s="672"/>
      <c r="MMB33" s="672"/>
      <c r="MMC33" s="672"/>
      <c r="MMD33" s="672"/>
      <c r="MME33" s="672"/>
      <c r="MMF33" s="672"/>
      <c r="MMG33" s="672"/>
      <c r="MMH33" s="672"/>
      <c r="MMI33" s="672"/>
      <c r="MMJ33" s="672"/>
      <c r="MMK33" s="672"/>
      <c r="MML33" s="672"/>
      <c r="MMM33" s="672"/>
      <c r="MMN33" s="672"/>
      <c r="MMO33" s="672"/>
      <c r="MMP33" s="672"/>
      <c r="MMQ33" s="672"/>
      <c r="MMR33" s="672"/>
      <c r="MMS33" s="672"/>
      <c r="MMT33" s="672"/>
      <c r="MMU33" s="672"/>
      <c r="MMV33" s="672"/>
      <c r="MMW33" s="672"/>
      <c r="MMX33" s="672"/>
      <c r="MMY33" s="672"/>
      <c r="MMZ33" s="672"/>
      <c r="MNA33" s="672"/>
      <c r="MNB33" s="672"/>
      <c r="MNC33" s="672"/>
      <c r="MND33" s="672"/>
      <c r="MNE33" s="672"/>
      <c r="MNF33" s="672"/>
      <c r="MNG33" s="672"/>
      <c r="MNH33" s="672"/>
      <c r="MNI33" s="672"/>
      <c r="MNJ33" s="672"/>
      <c r="MNK33" s="672"/>
      <c r="MNL33" s="672"/>
      <c r="MNM33" s="672"/>
      <c r="MNN33" s="672"/>
      <c r="MNO33" s="672"/>
      <c r="MNP33" s="672"/>
      <c r="MNQ33" s="672"/>
      <c r="MNR33" s="672"/>
      <c r="MNS33" s="672"/>
      <c r="MNT33" s="672"/>
      <c r="MNU33" s="672"/>
      <c r="MNV33" s="672"/>
      <c r="MNW33" s="672"/>
      <c r="MNX33" s="672"/>
      <c r="MNY33" s="672"/>
      <c r="MNZ33" s="672"/>
      <c r="MOA33" s="672"/>
      <c r="MOB33" s="672"/>
      <c r="MOC33" s="672"/>
      <c r="MOD33" s="672"/>
      <c r="MOE33" s="672"/>
      <c r="MOF33" s="672"/>
      <c r="MOG33" s="672"/>
      <c r="MOH33" s="672"/>
      <c r="MOI33" s="672"/>
      <c r="MOJ33" s="672"/>
      <c r="MOK33" s="672"/>
      <c r="MOL33" s="672"/>
      <c r="MOM33" s="672"/>
      <c r="MON33" s="672"/>
      <c r="MOO33" s="672"/>
      <c r="MOP33" s="672"/>
      <c r="MOQ33" s="672"/>
      <c r="MOR33" s="672"/>
      <c r="MOS33" s="672"/>
      <c r="MOT33" s="672"/>
      <c r="MOU33" s="672"/>
      <c r="MOV33" s="672"/>
      <c r="MOW33" s="672"/>
      <c r="MOX33" s="672"/>
      <c r="MOY33" s="672"/>
      <c r="MOZ33" s="672"/>
      <c r="MPA33" s="672"/>
      <c r="MPB33" s="672"/>
      <c r="MPC33" s="672"/>
      <c r="MPD33" s="672"/>
      <c r="MPE33" s="672"/>
      <c r="MPF33" s="672"/>
      <c r="MPG33" s="672"/>
      <c r="MPH33" s="672"/>
      <c r="MPI33" s="672"/>
      <c r="MPJ33" s="672"/>
      <c r="MPK33" s="672"/>
      <c r="MPL33" s="672"/>
      <c r="MPM33" s="672"/>
      <c r="MPN33" s="672"/>
      <c r="MPO33" s="672"/>
      <c r="MPP33" s="672"/>
      <c r="MPQ33" s="672"/>
      <c r="MPR33" s="672"/>
      <c r="MPS33" s="672"/>
      <c r="MPT33" s="672"/>
      <c r="MPU33" s="672"/>
      <c r="MPV33" s="672"/>
      <c r="MPW33" s="672"/>
      <c r="MPX33" s="672"/>
      <c r="MPY33" s="672"/>
      <c r="MPZ33" s="672"/>
      <c r="MQA33" s="672"/>
      <c r="MQB33" s="672"/>
      <c r="MQC33" s="672"/>
      <c r="MQD33" s="672"/>
      <c r="MQE33" s="672"/>
      <c r="MQF33" s="672"/>
      <c r="MQG33" s="672"/>
      <c r="MQH33" s="672"/>
      <c r="MQI33" s="672"/>
      <c r="MQJ33" s="672"/>
      <c r="MQK33" s="672"/>
      <c r="MQL33" s="672"/>
      <c r="MQM33" s="672"/>
      <c r="MQN33" s="672"/>
      <c r="MQO33" s="672"/>
      <c r="MQP33" s="672"/>
      <c r="MQQ33" s="672"/>
      <c r="MQR33" s="672"/>
      <c r="MQS33" s="672"/>
      <c r="MQT33" s="672"/>
      <c r="MQU33" s="672"/>
      <c r="MQV33" s="672"/>
      <c r="MQW33" s="672"/>
      <c r="MQX33" s="672"/>
      <c r="MQY33" s="672"/>
      <c r="MQZ33" s="672"/>
      <c r="MRA33" s="672"/>
      <c r="MRB33" s="672"/>
      <c r="MRC33" s="672"/>
      <c r="MRD33" s="672"/>
      <c r="MRE33" s="672"/>
      <c r="MRF33" s="672"/>
      <c r="MRG33" s="672"/>
      <c r="MRH33" s="672"/>
      <c r="MRI33" s="672"/>
      <c r="MRJ33" s="672"/>
      <c r="MRK33" s="672"/>
      <c r="MRL33" s="672"/>
      <c r="MRM33" s="672"/>
      <c r="MRN33" s="672"/>
      <c r="MRO33" s="672"/>
      <c r="MRP33" s="672"/>
      <c r="MRQ33" s="672"/>
      <c r="MRR33" s="672"/>
      <c r="MRS33" s="672"/>
      <c r="MRT33" s="672"/>
      <c r="MRU33" s="672"/>
      <c r="MRV33" s="672"/>
      <c r="MRW33" s="672"/>
      <c r="MRX33" s="672"/>
      <c r="MRY33" s="672"/>
      <c r="MRZ33" s="672"/>
      <c r="MSA33" s="672"/>
      <c r="MSB33" s="672"/>
      <c r="MSC33" s="672"/>
      <c r="MSD33" s="672"/>
      <c r="MSE33" s="672"/>
      <c r="MSF33" s="672"/>
      <c r="MSG33" s="672"/>
      <c r="MSH33" s="672"/>
      <c r="MSI33" s="672"/>
      <c r="MSJ33" s="672"/>
      <c r="MSK33" s="672"/>
      <c r="MSL33" s="672"/>
      <c r="MSM33" s="672"/>
      <c r="MSN33" s="672"/>
      <c r="MSO33" s="672"/>
      <c r="MSP33" s="672"/>
      <c r="MSQ33" s="672"/>
      <c r="MSR33" s="672"/>
      <c r="MSS33" s="672"/>
      <c r="MST33" s="672"/>
      <c r="MSU33" s="672"/>
      <c r="MSV33" s="672"/>
      <c r="MSW33" s="672"/>
      <c r="MSX33" s="672"/>
      <c r="MSY33" s="672"/>
      <c r="MSZ33" s="672"/>
      <c r="MTA33" s="672"/>
      <c r="MTB33" s="672"/>
      <c r="MTC33" s="672"/>
      <c r="MTD33" s="672"/>
      <c r="MTE33" s="672"/>
      <c r="MTF33" s="672"/>
      <c r="MTG33" s="672"/>
      <c r="MTH33" s="672"/>
      <c r="MTI33" s="672"/>
      <c r="MTJ33" s="672"/>
      <c r="MTK33" s="672"/>
      <c r="MTL33" s="672"/>
      <c r="MTM33" s="672"/>
      <c r="MTN33" s="672"/>
      <c r="MTO33" s="672"/>
      <c r="MTP33" s="672"/>
      <c r="MTQ33" s="672"/>
      <c r="MTR33" s="672"/>
      <c r="MTS33" s="672"/>
      <c r="MTT33" s="672"/>
      <c r="MTU33" s="672"/>
      <c r="MTV33" s="672"/>
      <c r="MTW33" s="672"/>
      <c r="MTX33" s="672"/>
      <c r="MTY33" s="672"/>
      <c r="MTZ33" s="672"/>
      <c r="MUA33" s="672"/>
      <c r="MUB33" s="672"/>
      <c r="MUC33" s="672"/>
      <c r="MUD33" s="672"/>
      <c r="MUE33" s="672"/>
      <c r="MUF33" s="672"/>
      <c r="MUG33" s="672"/>
      <c r="MUH33" s="672"/>
      <c r="MUI33" s="672"/>
      <c r="MUJ33" s="672"/>
      <c r="MUK33" s="672"/>
      <c r="MUL33" s="672"/>
      <c r="MUM33" s="672"/>
      <c r="MUN33" s="672"/>
      <c r="MUO33" s="672"/>
      <c r="MUP33" s="672"/>
      <c r="MUQ33" s="672"/>
      <c r="MUR33" s="672"/>
      <c r="MUS33" s="672"/>
      <c r="MUT33" s="672"/>
      <c r="MUU33" s="672"/>
      <c r="MUV33" s="672"/>
      <c r="MUW33" s="672"/>
      <c r="MUX33" s="672"/>
      <c r="MUY33" s="672"/>
      <c r="MUZ33" s="672"/>
      <c r="MVA33" s="672"/>
      <c r="MVB33" s="672"/>
      <c r="MVC33" s="672"/>
      <c r="MVD33" s="672"/>
      <c r="MVE33" s="672"/>
      <c r="MVF33" s="672"/>
      <c r="MVG33" s="672"/>
      <c r="MVH33" s="672"/>
      <c r="MVI33" s="672"/>
      <c r="MVJ33" s="672"/>
      <c r="MVK33" s="672"/>
      <c r="MVL33" s="672"/>
      <c r="MVM33" s="672"/>
      <c r="MVN33" s="672"/>
      <c r="MVO33" s="672"/>
      <c r="MVP33" s="672"/>
      <c r="MVQ33" s="672"/>
      <c r="MVR33" s="672"/>
      <c r="MVS33" s="672"/>
      <c r="MVT33" s="672"/>
      <c r="MVU33" s="672"/>
      <c r="MVV33" s="672"/>
      <c r="MVW33" s="672"/>
      <c r="MVX33" s="672"/>
      <c r="MVY33" s="672"/>
      <c r="MVZ33" s="672"/>
      <c r="MWA33" s="672"/>
      <c r="MWB33" s="672"/>
      <c r="MWC33" s="672"/>
      <c r="MWD33" s="672"/>
      <c r="MWE33" s="672"/>
      <c r="MWF33" s="672"/>
      <c r="MWG33" s="672"/>
      <c r="MWH33" s="672"/>
      <c r="MWI33" s="672"/>
      <c r="MWJ33" s="672"/>
      <c r="MWK33" s="672"/>
      <c r="MWL33" s="672"/>
      <c r="MWM33" s="672"/>
      <c r="MWN33" s="672"/>
      <c r="MWO33" s="672"/>
      <c r="MWP33" s="672"/>
      <c r="MWQ33" s="672"/>
      <c r="MWR33" s="672"/>
      <c r="MWS33" s="672"/>
      <c r="MWT33" s="672"/>
      <c r="MWU33" s="672"/>
      <c r="MWV33" s="672"/>
      <c r="MWW33" s="672"/>
      <c r="MWX33" s="672"/>
      <c r="MWY33" s="672"/>
      <c r="MWZ33" s="672"/>
      <c r="MXA33" s="672"/>
      <c r="MXB33" s="672"/>
      <c r="MXC33" s="672"/>
      <c r="MXD33" s="672"/>
      <c r="MXE33" s="672"/>
      <c r="MXF33" s="672"/>
      <c r="MXG33" s="672"/>
      <c r="MXH33" s="672"/>
      <c r="MXI33" s="672"/>
      <c r="MXJ33" s="672"/>
      <c r="MXK33" s="672"/>
      <c r="MXL33" s="672"/>
      <c r="MXM33" s="672"/>
      <c r="MXN33" s="672"/>
      <c r="MXO33" s="672"/>
      <c r="MXP33" s="672"/>
      <c r="MXQ33" s="672"/>
      <c r="MXR33" s="672"/>
      <c r="MXS33" s="672"/>
      <c r="MXT33" s="672"/>
      <c r="MXU33" s="672"/>
      <c r="MXV33" s="672"/>
      <c r="MXW33" s="672"/>
      <c r="MXX33" s="672"/>
      <c r="MXY33" s="672"/>
      <c r="MXZ33" s="672"/>
      <c r="MYA33" s="672"/>
      <c r="MYB33" s="672"/>
      <c r="MYC33" s="672"/>
      <c r="MYD33" s="672"/>
      <c r="MYE33" s="672"/>
      <c r="MYF33" s="672"/>
      <c r="MYG33" s="672"/>
      <c r="MYH33" s="672"/>
      <c r="MYI33" s="672"/>
      <c r="MYJ33" s="672"/>
      <c r="MYK33" s="672"/>
      <c r="MYL33" s="672"/>
      <c r="MYM33" s="672"/>
      <c r="MYN33" s="672"/>
      <c r="MYO33" s="672"/>
      <c r="MYP33" s="672"/>
      <c r="MYQ33" s="672"/>
      <c r="MYR33" s="672"/>
      <c r="MYS33" s="672"/>
      <c r="MYT33" s="672"/>
      <c r="MYU33" s="672"/>
      <c r="MYV33" s="672"/>
      <c r="MYW33" s="672"/>
      <c r="MYX33" s="672"/>
      <c r="MYY33" s="672"/>
      <c r="MYZ33" s="672"/>
      <c r="MZA33" s="672"/>
      <c r="MZB33" s="672"/>
      <c r="MZC33" s="672"/>
      <c r="MZD33" s="672"/>
      <c r="MZE33" s="672"/>
      <c r="MZF33" s="672"/>
      <c r="MZG33" s="672"/>
      <c r="MZH33" s="672"/>
      <c r="MZI33" s="672"/>
      <c r="MZJ33" s="672"/>
      <c r="MZK33" s="672"/>
      <c r="MZL33" s="672"/>
      <c r="MZM33" s="672"/>
      <c r="MZN33" s="672"/>
      <c r="MZO33" s="672"/>
      <c r="MZP33" s="672"/>
      <c r="MZQ33" s="672"/>
      <c r="MZR33" s="672"/>
      <c r="MZS33" s="672"/>
      <c r="MZT33" s="672"/>
      <c r="MZU33" s="672"/>
      <c r="MZV33" s="672"/>
      <c r="MZW33" s="672"/>
      <c r="MZX33" s="672"/>
      <c r="MZY33" s="672"/>
      <c r="MZZ33" s="672"/>
      <c r="NAA33" s="672"/>
      <c r="NAB33" s="672"/>
      <c r="NAC33" s="672"/>
      <c r="NAD33" s="672"/>
      <c r="NAE33" s="672"/>
      <c r="NAF33" s="672"/>
      <c r="NAG33" s="672"/>
      <c r="NAH33" s="672"/>
      <c r="NAI33" s="672"/>
      <c r="NAJ33" s="672"/>
      <c r="NAK33" s="672"/>
      <c r="NAL33" s="672"/>
      <c r="NAM33" s="672"/>
      <c r="NAN33" s="672"/>
      <c r="NAO33" s="672"/>
      <c r="NAP33" s="672"/>
      <c r="NAQ33" s="672"/>
      <c r="NAR33" s="672"/>
      <c r="NAS33" s="672"/>
      <c r="NAT33" s="672"/>
      <c r="NAU33" s="672"/>
      <c r="NAV33" s="672"/>
      <c r="NAW33" s="672"/>
      <c r="NAX33" s="672"/>
      <c r="NAY33" s="672"/>
      <c r="NAZ33" s="672"/>
      <c r="NBA33" s="672"/>
      <c r="NBB33" s="672"/>
      <c r="NBC33" s="672"/>
      <c r="NBD33" s="672"/>
      <c r="NBE33" s="672"/>
      <c r="NBF33" s="672"/>
      <c r="NBG33" s="672"/>
      <c r="NBH33" s="672"/>
      <c r="NBI33" s="672"/>
      <c r="NBJ33" s="672"/>
      <c r="NBK33" s="672"/>
      <c r="NBL33" s="672"/>
      <c r="NBM33" s="672"/>
      <c r="NBN33" s="672"/>
      <c r="NBO33" s="672"/>
      <c r="NBP33" s="672"/>
      <c r="NBQ33" s="672"/>
      <c r="NBR33" s="672"/>
      <c r="NBS33" s="672"/>
      <c r="NBT33" s="672"/>
      <c r="NBU33" s="672"/>
      <c r="NBV33" s="672"/>
      <c r="NBW33" s="672"/>
      <c r="NBX33" s="672"/>
      <c r="NBY33" s="672"/>
      <c r="NBZ33" s="672"/>
      <c r="NCA33" s="672"/>
      <c r="NCB33" s="672"/>
      <c r="NCC33" s="672"/>
      <c r="NCD33" s="672"/>
      <c r="NCE33" s="672"/>
      <c r="NCF33" s="672"/>
      <c r="NCG33" s="672"/>
      <c r="NCH33" s="672"/>
      <c r="NCI33" s="672"/>
      <c r="NCJ33" s="672"/>
      <c r="NCK33" s="672"/>
      <c r="NCL33" s="672"/>
      <c r="NCM33" s="672"/>
      <c r="NCN33" s="672"/>
      <c r="NCO33" s="672"/>
      <c r="NCP33" s="672"/>
      <c r="NCQ33" s="672"/>
      <c r="NCR33" s="672"/>
      <c r="NCS33" s="672"/>
      <c r="NCT33" s="672"/>
      <c r="NCU33" s="672"/>
      <c r="NCV33" s="672"/>
      <c r="NCW33" s="672"/>
      <c r="NCX33" s="672"/>
      <c r="NCY33" s="672"/>
      <c r="NCZ33" s="672"/>
      <c r="NDA33" s="672"/>
      <c r="NDB33" s="672"/>
      <c r="NDC33" s="672"/>
      <c r="NDD33" s="672"/>
      <c r="NDE33" s="672"/>
      <c r="NDF33" s="672"/>
      <c r="NDG33" s="672"/>
      <c r="NDH33" s="672"/>
      <c r="NDI33" s="672"/>
      <c r="NDJ33" s="672"/>
      <c r="NDK33" s="672"/>
      <c r="NDL33" s="672"/>
      <c r="NDM33" s="672"/>
      <c r="NDN33" s="672"/>
      <c r="NDO33" s="672"/>
      <c r="NDP33" s="672"/>
      <c r="NDQ33" s="672"/>
      <c r="NDR33" s="672"/>
      <c r="NDS33" s="672"/>
      <c r="NDT33" s="672"/>
      <c r="NDU33" s="672"/>
      <c r="NDV33" s="672"/>
      <c r="NDW33" s="672"/>
      <c r="NDX33" s="672"/>
      <c r="NDY33" s="672"/>
      <c r="NDZ33" s="672"/>
      <c r="NEA33" s="672"/>
      <c r="NEB33" s="672"/>
      <c r="NEC33" s="672"/>
      <c r="NED33" s="672"/>
      <c r="NEE33" s="672"/>
      <c r="NEF33" s="672"/>
      <c r="NEG33" s="672"/>
      <c r="NEH33" s="672"/>
      <c r="NEI33" s="672"/>
      <c r="NEJ33" s="672"/>
      <c r="NEK33" s="672"/>
      <c r="NEL33" s="672"/>
      <c r="NEM33" s="672"/>
      <c r="NEN33" s="672"/>
      <c r="NEO33" s="672"/>
      <c r="NEP33" s="672"/>
      <c r="NEQ33" s="672"/>
      <c r="NER33" s="672"/>
      <c r="NES33" s="672"/>
      <c r="NET33" s="672"/>
      <c r="NEU33" s="672"/>
      <c r="NEV33" s="672"/>
      <c r="NEW33" s="672"/>
      <c r="NEX33" s="672"/>
      <c r="NEY33" s="672"/>
      <c r="NEZ33" s="672"/>
      <c r="NFA33" s="672"/>
      <c r="NFB33" s="672"/>
      <c r="NFC33" s="672"/>
      <c r="NFD33" s="672"/>
      <c r="NFE33" s="672"/>
      <c r="NFF33" s="672"/>
      <c r="NFG33" s="672"/>
      <c r="NFH33" s="672"/>
      <c r="NFI33" s="672"/>
      <c r="NFJ33" s="672"/>
      <c r="NFK33" s="672"/>
      <c r="NFL33" s="672"/>
      <c r="NFM33" s="672"/>
      <c r="NFN33" s="672"/>
      <c r="NFO33" s="672"/>
      <c r="NFP33" s="672"/>
      <c r="NFQ33" s="672"/>
      <c r="NFR33" s="672"/>
      <c r="NFS33" s="672"/>
      <c r="NFT33" s="672"/>
      <c r="NFU33" s="672"/>
      <c r="NFV33" s="672"/>
      <c r="NFW33" s="672"/>
      <c r="NFX33" s="672"/>
      <c r="NFY33" s="672"/>
      <c r="NFZ33" s="672"/>
      <c r="NGA33" s="672"/>
      <c r="NGB33" s="672"/>
      <c r="NGC33" s="672"/>
      <c r="NGD33" s="672"/>
      <c r="NGE33" s="672"/>
      <c r="NGF33" s="672"/>
      <c r="NGG33" s="672"/>
      <c r="NGH33" s="672"/>
      <c r="NGI33" s="672"/>
      <c r="NGJ33" s="672"/>
      <c r="NGK33" s="672"/>
      <c r="NGL33" s="672"/>
      <c r="NGM33" s="672"/>
      <c r="NGN33" s="672"/>
      <c r="NGO33" s="672"/>
      <c r="NGP33" s="672"/>
      <c r="NGQ33" s="672"/>
      <c r="NGR33" s="672"/>
      <c r="NGS33" s="672"/>
      <c r="NGT33" s="672"/>
      <c r="NGU33" s="672"/>
      <c r="NGV33" s="672"/>
      <c r="NGW33" s="672"/>
      <c r="NGX33" s="672"/>
      <c r="NGY33" s="672"/>
      <c r="NGZ33" s="672"/>
      <c r="NHA33" s="672"/>
      <c r="NHB33" s="672"/>
      <c r="NHC33" s="672"/>
      <c r="NHD33" s="672"/>
      <c r="NHE33" s="672"/>
      <c r="NHF33" s="672"/>
      <c r="NHG33" s="672"/>
      <c r="NHH33" s="672"/>
      <c r="NHI33" s="672"/>
      <c r="NHJ33" s="672"/>
      <c r="NHK33" s="672"/>
      <c r="NHL33" s="672"/>
      <c r="NHM33" s="672"/>
      <c r="NHN33" s="672"/>
      <c r="NHO33" s="672"/>
      <c r="NHP33" s="672"/>
      <c r="NHQ33" s="672"/>
      <c r="NHR33" s="672"/>
      <c r="NHS33" s="672"/>
      <c r="NHT33" s="672"/>
      <c r="NHU33" s="672"/>
      <c r="NHV33" s="672"/>
      <c r="NHW33" s="672"/>
      <c r="NHX33" s="672"/>
      <c r="NHY33" s="672"/>
      <c r="NHZ33" s="672"/>
      <c r="NIA33" s="672"/>
      <c r="NIB33" s="672"/>
      <c r="NIC33" s="672"/>
      <c r="NID33" s="672"/>
      <c r="NIE33" s="672"/>
      <c r="NIF33" s="672"/>
      <c r="NIG33" s="672"/>
      <c r="NIH33" s="672"/>
      <c r="NII33" s="672"/>
      <c r="NIJ33" s="672"/>
      <c r="NIK33" s="672"/>
      <c r="NIL33" s="672"/>
      <c r="NIM33" s="672"/>
      <c r="NIN33" s="672"/>
      <c r="NIO33" s="672"/>
      <c r="NIP33" s="672"/>
      <c r="NIQ33" s="672"/>
      <c r="NIR33" s="672"/>
      <c r="NIS33" s="672"/>
      <c r="NIT33" s="672"/>
      <c r="NIU33" s="672"/>
      <c r="NIV33" s="672"/>
      <c r="NIW33" s="672"/>
      <c r="NIX33" s="672"/>
      <c r="NIY33" s="672"/>
      <c r="NIZ33" s="672"/>
      <c r="NJA33" s="672"/>
      <c r="NJB33" s="672"/>
      <c r="NJC33" s="672"/>
      <c r="NJD33" s="672"/>
      <c r="NJE33" s="672"/>
      <c r="NJF33" s="672"/>
      <c r="NJG33" s="672"/>
      <c r="NJH33" s="672"/>
      <c r="NJI33" s="672"/>
      <c r="NJJ33" s="672"/>
      <c r="NJK33" s="672"/>
      <c r="NJL33" s="672"/>
      <c r="NJM33" s="672"/>
      <c r="NJN33" s="672"/>
      <c r="NJO33" s="672"/>
      <c r="NJP33" s="672"/>
      <c r="NJQ33" s="672"/>
      <c r="NJR33" s="672"/>
      <c r="NJS33" s="672"/>
      <c r="NJT33" s="672"/>
      <c r="NJU33" s="672"/>
      <c r="NJV33" s="672"/>
      <c r="NJW33" s="672"/>
      <c r="NJX33" s="672"/>
      <c r="NJY33" s="672"/>
      <c r="NJZ33" s="672"/>
      <c r="NKA33" s="672"/>
      <c r="NKB33" s="672"/>
      <c r="NKC33" s="672"/>
      <c r="NKD33" s="672"/>
      <c r="NKE33" s="672"/>
      <c r="NKF33" s="672"/>
      <c r="NKG33" s="672"/>
      <c r="NKH33" s="672"/>
      <c r="NKI33" s="672"/>
      <c r="NKJ33" s="672"/>
      <c r="NKK33" s="672"/>
      <c r="NKL33" s="672"/>
      <c r="NKM33" s="672"/>
      <c r="NKN33" s="672"/>
      <c r="NKO33" s="672"/>
      <c r="NKP33" s="672"/>
      <c r="NKQ33" s="672"/>
      <c r="NKR33" s="672"/>
      <c r="NKS33" s="672"/>
      <c r="NKT33" s="672"/>
      <c r="NKU33" s="672"/>
      <c r="NKV33" s="672"/>
      <c r="NKW33" s="672"/>
      <c r="NKX33" s="672"/>
      <c r="NKY33" s="672"/>
      <c r="NKZ33" s="672"/>
      <c r="NLA33" s="672"/>
      <c r="NLB33" s="672"/>
      <c r="NLC33" s="672"/>
      <c r="NLD33" s="672"/>
      <c r="NLE33" s="672"/>
      <c r="NLF33" s="672"/>
      <c r="NLG33" s="672"/>
      <c r="NLH33" s="672"/>
      <c r="NLI33" s="672"/>
      <c r="NLJ33" s="672"/>
      <c r="NLK33" s="672"/>
      <c r="NLL33" s="672"/>
      <c r="NLM33" s="672"/>
      <c r="NLN33" s="672"/>
      <c r="NLO33" s="672"/>
      <c r="NLP33" s="672"/>
      <c r="NLQ33" s="672"/>
      <c r="NLR33" s="672"/>
      <c r="NLS33" s="672"/>
      <c r="NLT33" s="672"/>
      <c r="NLU33" s="672"/>
      <c r="NLV33" s="672"/>
      <c r="NLW33" s="672"/>
      <c r="NLX33" s="672"/>
      <c r="NLY33" s="672"/>
      <c r="NLZ33" s="672"/>
      <c r="NMA33" s="672"/>
      <c r="NMB33" s="672"/>
      <c r="NMC33" s="672"/>
      <c r="NMD33" s="672"/>
      <c r="NME33" s="672"/>
      <c r="NMF33" s="672"/>
      <c r="NMG33" s="672"/>
      <c r="NMH33" s="672"/>
      <c r="NMI33" s="672"/>
      <c r="NMJ33" s="672"/>
      <c r="NMK33" s="672"/>
      <c r="NML33" s="672"/>
      <c r="NMM33" s="672"/>
      <c r="NMN33" s="672"/>
      <c r="NMO33" s="672"/>
      <c r="NMP33" s="672"/>
      <c r="NMQ33" s="672"/>
      <c r="NMR33" s="672"/>
      <c r="NMS33" s="672"/>
      <c r="NMT33" s="672"/>
      <c r="NMU33" s="672"/>
      <c r="NMV33" s="672"/>
      <c r="NMW33" s="672"/>
      <c r="NMX33" s="672"/>
      <c r="NMY33" s="672"/>
      <c r="NMZ33" s="672"/>
      <c r="NNA33" s="672"/>
      <c r="NNB33" s="672"/>
      <c r="NNC33" s="672"/>
      <c r="NND33" s="672"/>
      <c r="NNE33" s="672"/>
      <c r="NNF33" s="672"/>
      <c r="NNG33" s="672"/>
      <c r="NNH33" s="672"/>
      <c r="NNI33" s="672"/>
      <c r="NNJ33" s="672"/>
      <c r="NNK33" s="672"/>
      <c r="NNL33" s="672"/>
      <c r="NNM33" s="672"/>
      <c r="NNN33" s="672"/>
      <c r="NNO33" s="672"/>
      <c r="NNP33" s="672"/>
      <c r="NNQ33" s="672"/>
      <c r="NNR33" s="672"/>
      <c r="NNS33" s="672"/>
      <c r="NNT33" s="672"/>
      <c r="NNU33" s="672"/>
      <c r="NNV33" s="672"/>
      <c r="NNW33" s="672"/>
      <c r="NNX33" s="672"/>
      <c r="NNY33" s="672"/>
      <c r="NNZ33" s="672"/>
      <c r="NOA33" s="672"/>
      <c r="NOB33" s="672"/>
      <c r="NOC33" s="672"/>
      <c r="NOD33" s="672"/>
      <c r="NOE33" s="672"/>
      <c r="NOF33" s="672"/>
      <c r="NOG33" s="672"/>
      <c r="NOH33" s="672"/>
      <c r="NOI33" s="672"/>
      <c r="NOJ33" s="672"/>
      <c r="NOK33" s="672"/>
      <c r="NOL33" s="672"/>
      <c r="NOM33" s="672"/>
      <c r="NON33" s="672"/>
      <c r="NOO33" s="672"/>
      <c r="NOP33" s="672"/>
      <c r="NOQ33" s="672"/>
      <c r="NOR33" s="672"/>
      <c r="NOS33" s="672"/>
      <c r="NOT33" s="672"/>
      <c r="NOU33" s="672"/>
      <c r="NOV33" s="672"/>
      <c r="NOW33" s="672"/>
      <c r="NOX33" s="672"/>
      <c r="NOY33" s="672"/>
      <c r="NOZ33" s="672"/>
      <c r="NPA33" s="672"/>
      <c r="NPB33" s="672"/>
      <c r="NPC33" s="672"/>
      <c r="NPD33" s="672"/>
      <c r="NPE33" s="672"/>
      <c r="NPF33" s="672"/>
      <c r="NPG33" s="672"/>
      <c r="NPH33" s="672"/>
      <c r="NPI33" s="672"/>
      <c r="NPJ33" s="672"/>
      <c r="NPK33" s="672"/>
      <c r="NPL33" s="672"/>
      <c r="NPM33" s="672"/>
      <c r="NPN33" s="672"/>
      <c r="NPO33" s="672"/>
      <c r="NPP33" s="672"/>
      <c r="NPQ33" s="672"/>
      <c r="NPR33" s="672"/>
      <c r="NPS33" s="672"/>
      <c r="NPT33" s="672"/>
      <c r="NPU33" s="672"/>
      <c r="NPV33" s="672"/>
      <c r="NPW33" s="672"/>
      <c r="NPX33" s="672"/>
      <c r="NPY33" s="672"/>
      <c r="NPZ33" s="672"/>
      <c r="NQA33" s="672"/>
      <c r="NQB33" s="672"/>
      <c r="NQC33" s="672"/>
      <c r="NQD33" s="672"/>
      <c r="NQE33" s="672"/>
      <c r="NQF33" s="672"/>
      <c r="NQG33" s="672"/>
      <c r="NQH33" s="672"/>
      <c r="NQI33" s="672"/>
      <c r="NQJ33" s="672"/>
      <c r="NQK33" s="672"/>
      <c r="NQL33" s="672"/>
      <c r="NQM33" s="672"/>
      <c r="NQN33" s="672"/>
      <c r="NQO33" s="672"/>
      <c r="NQP33" s="672"/>
      <c r="NQQ33" s="672"/>
      <c r="NQR33" s="672"/>
      <c r="NQS33" s="672"/>
      <c r="NQT33" s="672"/>
      <c r="NQU33" s="672"/>
      <c r="NQV33" s="672"/>
      <c r="NQW33" s="672"/>
      <c r="NQX33" s="672"/>
      <c r="NQY33" s="672"/>
      <c r="NQZ33" s="672"/>
      <c r="NRA33" s="672"/>
      <c r="NRB33" s="672"/>
      <c r="NRC33" s="672"/>
      <c r="NRD33" s="672"/>
      <c r="NRE33" s="672"/>
      <c r="NRF33" s="672"/>
      <c r="NRG33" s="672"/>
      <c r="NRH33" s="672"/>
      <c r="NRI33" s="672"/>
      <c r="NRJ33" s="672"/>
      <c r="NRK33" s="672"/>
      <c r="NRL33" s="672"/>
      <c r="NRM33" s="672"/>
      <c r="NRN33" s="672"/>
      <c r="NRO33" s="672"/>
      <c r="NRP33" s="672"/>
      <c r="NRQ33" s="672"/>
      <c r="NRR33" s="672"/>
      <c r="NRS33" s="672"/>
      <c r="NRT33" s="672"/>
      <c r="NRU33" s="672"/>
      <c r="NRV33" s="672"/>
      <c r="NRW33" s="672"/>
      <c r="NRX33" s="672"/>
      <c r="NRY33" s="672"/>
      <c r="NRZ33" s="672"/>
      <c r="NSA33" s="672"/>
      <c r="NSB33" s="672"/>
      <c r="NSC33" s="672"/>
      <c r="NSD33" s="672"/>
      <c r="NSE33" s="672"/>
      <c r="NSF33" s="672"/>
      <c r="NSG33" s="672"/>
      <c r="NSH33" s="672"/>
      <c r="NSI33" s="672"/>
      <c r="NSJ33" s="672"/>
      <c r="NSK33" s="672"/>
      <c r="NSL33" s="672"/>
      <c r="NSM33" s="672"/>
      <c r="NSN33" s="672"/>
      <c r="NSO33" s="672"/>
      <c r="NSP33" s="672"/>
      <c r="NSQ33" s="672"/>
      <c r="NSR33" s="672"/>
      <c r="NSS33" s="672"/>
      <c r="NST33" s="672"/>
      <c r="NSU33" s="672"/>
      <c r="NSV33" s="672"/>
      <c r="NSW33" s="672"/>
      <c r="NSX33" s="672"/>
      <c r="NSY33" s="672"/>
      <c r="NSZ33" s="672"/>
      <c r="NTA33" s="672"/>
      <c r="NTB33" s="672"/>
      <c r="NTC33" s="672"/>
      <c r="NTD33" s="672"/>
      <c r="NTE33" s="672"/>
      <c r="NTF33" s="672"/>
      <c r="NTG33" s="672"/>
      <c r="NTH33" s="672"/>
      <c r="NTI33" s="672"/>
      <c r="NTJ33" s="672"/>
      <c r="NTK33" s="672"/>
      <c r="NTL33" s="672"/>
      <c r="NTM33" s="672"/>
      <c r="NTN33" s="672"/>
      <c r="NTO33" s="672"/>
      <c r="NTP33" s="672"/>
      <c r="NTQ33" s="672"/>
      <c r="NTR33" s="672"/>
      <c r="NTS33" s="672"/>
      <c r="NTT33" s="672"/>
      <c r="NTU33" s="672"/>
      <c r="NTV33" s="672"/>
      <c r="NTW33" s="672"/>
      <c r="NTX33" s="672"/>
      <c r="NTY33" s="672"/>
      <c r="NTZ33" s="672"/>
      <c r="NUA33" s="672"/>
      <c r="NUB33" s="672"/>
      <c r="NUC33" s="672"/>
      <c r="NUD33" s="672"/>
      <c r="NUE33" s="672"/>
      <c r="NUF33" s="672"/>
      <c r="NUG33" s="672"/>
      <c r="NUH33" s="672"/>
      <c r="NUI33" s="672"/>
      <c r="NUJ33" s="672"/>
      <c r="NUK33" s="672"/>
      <c r="NUL33" s="672"/>
      <c r="NUM33" s="672"/>
      <c r="NUN33" s="672"/>
      <c r="NUO33" s="672"/>
      <c r="NUP33" s="672"/>
      <c r="NUQ33" s="672"/>
      <c r="NUR33" s="672"/>
      <c r="NUS33" s="672"/>
      <c r="NUT33" s="672"/>
      <c r="NUU33" s="672"/>
      <c r="NUV33" s="672"/>
      <c r="NUW33" s="672"/>
      <c r="NUX33" s="672"/>
      <c r="NUY33" s="672"/>
      <c r="NUZ33" s="672"/>
      <c r="NVA33" s="672"/>
      <c r="NVB33" s="672"/>
      <c r="NVC33" s="672"/>
      <c r="NVD33" s="672"/>
      <c r="NVE33" s="672"/>
      <c r="NVF33" s="672"/>
      <c r="NVG33" s="672"/>
      <c r="NVH33" s="672"/>
      <c r="NVI33" s="672"/>
      <c r="NVJ33" s="672"/>
      <c r="NVK33" s="672"/>
      <c r="NVL33" s="672"/>
      <c r="NVM33" s="672"/>
      <c r="NVN33" s="672"/>
      <c r="NVO33" s="672"/>
      <c r="NVP33" s="672"/>
      <c r="NVQ33" s="672"/>
      <c r="NVR33" s="672"/>
      <c r="NVS33" s="672"/>
      <c r="NVT33" s="672"/>
      <c r="NVU33" s="672"/>
      <c r="NVV33" s="672"/>
      <c r="NVW33" s="672"/>
      <c r="NVX33" s="672"/>
      <c r="NVY33" s="672"/>
      <c r="NVZ33" s="672"/>
      <c r="NWA33" s="672"/>
      <c r="NWB33" s="672"/>
      <c r="NWC33" s="672"/>
      <c r="NWD33" s="672"/>
      <c r="NWE33" s="672"/>
      <c r="NWF33" s="672"/>
      <c r="NWG33" s="672"/>
      <c r="NWH33" s="672"/>
      <c r="NWI33" s="672"/>
      <c r="NWJ33" s="672"/>
      <c r="NWK33" s="672"/>
      <c r="NWL33" s="672"/>
      <c r="NWM33" s="672"/>
      <c r="NWN33" s="672"/>
      <c r="NWO33" s="672"/>
      <c r="NWP33" s="672"/>
      <c r="NWQ33" s="672"/>
      <c r="NWR33" s="672"/>
      <c r="NWS33" s="672"/>
      <c r="NWT33" s="672"/>
      <c r="NWU33" s="672"/>
      <c r="NWV33" s="672"/>
      <c r="NWW33" s="672"/>
      <c r="NWX33" s="672"/>
      <c r="NWY33" s="672"/>
      <c r="NWZ33" s="672"/>
      <c r="NXA33" s="672"/>
      <c r="NXB33" s="672"/>
      <c r="NXC33" s="672"/>
      <c r="NXD33" s="672"/>
      <c r="NXE33" s="672"/>
      <c r="NXF33" s="672"/>
      <c r="NXG33" s="672"/>
      <c r="NXH33" s="672"/>
      <c r="NXI33" s="672"/>
      <c r="NXJ33" s="672"/>
      <c r="NXK33" s="672"/>
      <c r="NXL33" s="672"/>
      <c r="NXM33" s="672"/>
      <c r="NXN33" s="672"/>
      <c r="NXO33" s="672"/>
      <c r="NXP33" s="672"/>
      <c r="NXQ33" s="672"/>
      <c r="NXR33" s="672"/>
      <c r="NXS33" s="672"/>
      <c r="NXT33" s="672"/>
      <c r="NXU33" s="672"/>
      <c r="NXV33" s="672"/>
      <c r="NXW33" s="672"/>
      <c r="NXX33" s="672"/>
      <c r="NXY33" s="672"/>
      <c r="NXZ33" s="672"/>
      <c r="NYA33" s="672"/>
      <c r="NYB33" s="672"/>
      <c r="NYC33" s="672"/>
      <c r="NYD33" s="672"/>
      <c r="NYE33" s="672"/>
      <c r="NYF33" s="672"/>
      <c r="NYG33" s="672"/>
      <c r="NYH33" s="672"/>
      <c r="NYI33" s="672"/>
      <c r="NYJ33" s="672"/>
      <c r="NYK33" s="672"/>
      <c r="NYL33" s="672"/>
      <c r="NYM33" s="672"/>
      <c r="NYN33" s="672"/>
      <c r="NYO33" s="672"/>
      <c r="NYP33" s="672"/>
      <c r="NYQ33" s="672"/>
      <c r="NYR33" s="672"/>
      <c r="NYS33" s="672"/>
      <c r="NYT33" s="672"/>
      <c r="NYU33" s="672"/>
      <c r="NYV33" s="672"/>
      <c r="NYW33" s="672"/>
      <c r="NYX33" s="672"/>
      <c r="NYY33" s="672"/>
      <c r="NYZ33" s="672"/>
      <c r="NZA33" s="672"/>
      <c r="NZB33" s="672"/>
      <c r="NZC33" s="672"/>
      <c r="NZD33" s="672"/>
      <c r="NZE33" s="672"/>
      <c r="NZF33" s="672"/>
      <c r="NZG33" s="672"/>
      <c r="NZH33" s="672"/>
      <c r="NZI33" s="672"/>
      <c r="NZJ33" s="672"/>
      <c r="NZK33" s="672"/>
      <c r="NZL33" s="672"/>
      <c r="NZM33" s="672"/>
      <c r="NZN33" s="672"/>
      <c r="NZO33" s="672"/>
      <c r="NZP33" s="672"/>
      <c r="NZQ33" s="672"/>
      <c r="NZR33" s="672"/>
      <c r="NZS33" s="672"/>
      <c r="NZT33" s="672"/>
      <c r="NZU33" s="672"/>
      <c r="NZV33" s="672"/>
      <c r="NZW33" s="672"/>
      <c r="NZX33" s="672"/>
      <c r="NZY33" s="672"/>
      <c r="NZZ33" s="672"/>
      <c r="OAA33" s="672"/>
      <c r="OAB33" s="672"/>
      <c r="OAC33" s="672"/>
      <c r="OAD33" s="672"/>
      <c r="OAE33" s="672"/>
      <c r="OAF33" s="672"/>
      <c r="OAG33" s="672"/>
      <c r="OAH33" s="672"/>
      <c r="OAI33" s="672"/>
      <c r="OAJ33" s="672"/>
      <c r="OAK33" s="672"/>
      <c r="OAL33" s="672"/>
      <c r="OAM33" s="672"/>
      <c r="OAN33" s="672"/>
      <c r="OAO33" s="672"/>
      <c r="OAP33" s="672"/>
      <c r="OAQ33" s="672"/>
      <c r="OAR33" s="672"/>
      <c r="OAS33" s="672"/>
      <c r="OAT33" s="672"/>
      <c r="OAU33" s="672"/>
      <c r="OAV33" s="672"/>
      <c r="OAW33" s="672"/>
      <c r="OAX33" s="672"/>
      <c r="OAY33" s="672"/>
      <c r="OAZ33" s="672"/>
      <c r="OBA33" s="672"/>
      <c r="OBB33" s="672"/>
      <c r="OBC33" s="672"/>
      <c r="OBD33" s="672"/>
      <c r="OBE33" s="672"/>
      <c r="OBF33" s="672"/>
      <c r="OBG33" s="672"/>
      <c r="OBH33" s="672"/>
      <c r="OBI33" s="672"/>
      <c r="OBJ33" s="672"/>
      <c r="OBK33" s="672"/>
      <c r="OBL33" s="672"/>
      <c r="OBM33" s="672"/>
      <c r="OBN33" s="672"/>
      <c r="OBO33" s="672"/>
      <c r="OBP33" s="672"/>
      <c r="OBQ33" s="672"/>
      <c r="OBR33" s="672"/>
      <c r="OBS33" s="672"/>
      <c r="OBT33" s="672"/>
      <c r="OBU33" s="672"/>
      <c r="OBV33" s="672"/>
      <c r="OBW33" s="672"/>
      <c r="OBX33" s="672"/>
      <c r="OBY33" s="672"/>
      <c r="OBZ33" s="672"/>
      <c r="OCA33" s="672"/>
      <c r="OCB33" s="672"/>
      <c r="OCC33" s="672"/>
      <c r="OCD33" s="672"/>
      <c r="OCE33" s="672"/>
      <c r="OCF33" s="672"/>
      <c r="OCG33" s="672"/>
      <c r="OCH33" s="672"/>
      <c r="OCI33" s="672"/>
      <c r="OCJ33" s="672"/>
      <c r="OCK33" s="672"/>
      <c r="OCL33" s="672"/>
      <c r="OCM33" s="672"/>
      <c r="OCN33" s="672"/>
      <c r="OCO33" s="672"/>
      <c r="OCP33" s="672"/>
      <c r="OCQ33" s="672"/>
      <c r="OCR33" s="672"/>
      <c r="OCS33" s="672"/>
      <c r="OCT33" s="672"/>
      <c r="OCU33" s="672"/>
      <c r="OCV33" s="672"/>
      <c r="OCW33" s="672"/>
      <c r="OCX33" s="672"/>
      <c r="OCY33" s="672"/>
      <c r="OCZ33" s="672"/>
      <c r="ODA33" s="672"/>
      <c r="ODB33" s="672"/>
      <c r="ODC33" s="672"/>
      <c r="ODD33" s="672"/>
      <c r="ODE33" s="672"/>
      <c r="ODF33" s="672"/>
      <c r="ODG33" s="672"/>
      <c r="ODH33" s="672"/>
      <c r="ODI33" s="672"/>
      <c r="ODJ33" s="672"/>
      <c r="ODK33" s="672"/>
      <c r="ODL33" s="672"/>
      <c r="ODM33" s="672"/>
      <c r="ODN33" s="672"/>
      <c r="ODO33" s="672"/>
      <c r="ODP33" s="672"/>
      <c r="ODQ33" s="672"/>
      <c r="ODR33" s="672"/>
      <c r="ODS33" s="672"/>
      <c r="ODT33" s="672"/>
      <c r="ODU33" s="672"/>
      <c r="ODV33" s="672"/>
      <c r="ODW33" s="672"/>
      <c r="ODX33" s="672"/>
      <c r="ODY33" s="672"/>
      <c r="ODZ33" s="672"/>
      <c r="OEA33" s="672"/>
      <c r="OEB33" s="672"/>
      <c r="OEC33" s="672"/>
      <c r="OED33" s="672"/>
      <c r="OEE33" s="672"/>
      <c r="OEF33" s="672"/>
      <c r="OEG33" s="672"/>
      <c r="OEH33" s="672"/>
      <c r="OEI33" s="672"/>
      <c r="OEJ33" s="672"/>
      <c r="OEK33" s="672"/>
      <c r="OEL33" s="672"/>
      <c r="OEM33" s="672"/>
      <c r="OEN33" s="672"/>
      <c r="OEO33" s="672"/>
      <c r="OEP33" s="672"/>
      <c r="OEQ33" s="672"/>
      <c r="OER33" s="672"/>
      <c r="OES33" s="672"/>
      <c r="OET33" s="672"/>
      <c r="OEU33" s="672"/>
      <c r="OEV33" s="672"/>
      <c r="OEW33" s="672"/>
      <c r="OEX33" s="672"/>
      <c r="OEY33" s="672"/>
      <c r="OEZ33" s="672"/>
      <c r="OFA33" s="672"/>
      <c r="OFB33" s="672"/>
      <c r="OFC33" s="672"/>
      <c r="OFD33" s="672"/>
      <c r="OFE33" s="672"/>
      <c r="OFF33" s="672"/>
      <c r="OFG33" s="672"/>
      <c r="OFH33" s="672"/>
      <c r="OFI33" s="672"/>
      <c r="OFJ33" s="672"/>
      <c r="OFK33" s="672"/>
      <c r="OFL33" s="672"/>
      <c r="OFM33" s="672"/>
      <c r="OFN33" s="672"/>
      <c r="OFO33" s="672"/>
      <c r="OFP33" s="672"/>
      <c r="OFQ33" s="672"/>
      <c r="OFR33" s="672"/>
      <c r="OFS33" s="672"/>
      <c r="OFT33" s="672"/>
      <c r="OFU33" s="672"/>
      <c r="OFV33" s="672"/>
      <c r="OFW33" s="672"/>
      <c r="OFX33" s="672"/>
      <c r="OFY33" s="672"/>
      <c r="OFZ33" s="672"/>
      <c r="OGA33" s="672"/>
      <c r="OGB33" s="672"/>
      <c r="OGC33" s="672"/>
      <c r="OGD33" s="672"/>
      <c r="OGE33" s="672"/>
      <c r="OGF33" s="672"/>
      <c r="OGG33" s="672"/>
      <c r="OGH33" s="672"/>
      <c r="OGI33" s="672"/>
      <c r="OGJ33" s="672"/>
      <c r="OGK33" s="672"/>
      <c r="OGL33" s="672"/>
      <c r="OGM33" s="672"/>
      <c r="OGN33" s="672"/>
      <c r="OGO33" s="672"/>
      <c r="OGP33" s="672"/>
      <c r="OGQ33" s="672"/>
      <c r="OGR33" s="672"/>
      <c r="OGS33" s="672"/>
      <c r="OGT33" s="672"/>
      <c r="OGU33" s="672"/>
      <c r="OGV33" s="672"/>
      <c r="OGW33" s="672"/>
      <c r="OGX33" s="672"/>
      <c r="OGY33" s="672"/>
      <c r="OGZ33" s="672"/>
      <c r="OHA33" s="672"/>
      <c r="OHB33" s="672"/>
      <c r="OHC33" s="672"/>
      <c r="OHD33" s="672"/>
      <c r="OHE33" s="672"/>
      <c r="OHF33" s="672"/>
      <c r="OHG33" s="672"/>
      <c r="OHH33" s="672"/>
      <c r="OHI33" s="672"/>
      <c r="OHJ33" s="672"/>
      <c r="OHK33" s="672"/>
      <c r="OHL33" s="672"/>
      <c r="OHM33" s="672"/>
      <c r="OHN33" s="672"/>
      <c r="OHO33" s="672"/>
      <c r="OHP33" s="672"/>
      <c r="OHQ33" s="672"/>
      <c r="OHR33" s="672"/>
      <c r="OHS33" s="672"/>
      <c r="OHT33" s="672"/>
      <c r="OHU33" s="672"/>
      <c r="OHV33" s="672"/>
      <c r="OHW33" s="672"/>
      <c r="OHX33" s="672"/>
      <c r="OHY33" s="672"/>
      <c r="OHZ33" s="672"/>
      <c r="OIA33" s="672"/>
      <c r="OIB33" s="672"/>
      <c r="OIC33" s="672"/>
      <c r="OID33" s="672"/>
      <c r="OIE33" s="672"/>
      <c r="OIF33" s="672"/>
      <c r="OIG33" s="672"/>
      <c r="OIH33" s="672"/>
      <c r="OII33" s="672"/>
      <c r="OIJ33" s="672"/>
      <c r="OIK33" s="672"/>
      <c r="OIL33" s="672"/>
      <c r="OIM33" s="672"/>
      <c r="OIN33" s="672"/>
      <c r="OIO33" s="672"/>
      <c r="OIP33" s="672"/>
      <c r="OIQ33" s="672"/>
      <c r="OIR33" s="672"/>
      <c r="OIS33" s="672"/>
      <c r="OIT33" s="672"/>
      <c r="OIU33" s="672"/>
      <c r="OIV33" s="672"/>
      <c r="OIW33" s="672"/>
      <c r="OIX33" s="672"/>
      <c r="OIY33" s="672"/>
      <c r="OIZ33" s="672"/>
      <c r="OJA33" s="672"/>
      <c r="OJB33" s="672"/>
      <c r="OJC33" s="672"/>
      <c r="OJD33" s="672"/>
      <c r="OJE33" s="672"/>
      <c r="OJF33" s="672"/>
      <c r="OJG33" s="672"/>
      <c r="OJH33" s="672"/>
      <c r="OJI33" s="672"/>
      <c r="OJJ33" s="672"/>
      <c r="OJK33" s="672"/>
      <c r="OJL33" s="672"/>
      <c r="OJM33" s="672"/>
      <c r="OJN33" s="672"/>
      <c r="OJO33" s="672"/>
      <c r="OJP33" s="672"/>
      <c r="OJQ33" s="672"/>
      <c r="OJR33" s="672"/>
      <c r="OJS33" s="672"/>
      <c r="OJT33" s="672"/>
      <c r="OJU33" s="672"/>
      <c r="OJV33" s="672"/>
      <c r="OJW33" s="672"/>
      <c r="OJX33" s="672"/>
      <c r="OJY33" s="672"/>
      <c r="OJZ33" s="672"/>
      <c r="OKA33" s="672"/>
      <c r="OKB33" s="672"/>
      <c r="OKC33" s="672"/>
      <c r="OKD33" s="672"/>
      <c r="OKE33" s="672"/>
      <c r="OKF33" s="672"/>
      <c r="OKG33" s="672"/>
      <c r="OKH33" s="672"/>
      <c r="OKI33" s="672"/>
      <c r="OKJ33" s="672"/>
      <c r="OKK33" s="672"/>
      <c r="OKL33" s="672"/>
      <c r="OKM33" s="672"/>
      <c r="OKN33" s="672"/>
      <c r="OKO33" s="672"/>
      <c r="OKP33" s="672"/>
      <c r="OKQ33" s="672"/>
      <c r="OKR33" s="672"/>
      <c r="OKS33" s="672"/>
      <c r="OKT33" s="672"/>
      <c r="OKU33" s="672"/>
      <c r="OKV33" s="672"/>
      <c r="OKW33" s="672"/>
      <c r="OKX33" s="672"/>
      <c r="OKY33" s="672"/>
      <c r="OKZ33" s="672"/>
      <c r="OLA33" s="672"/>
      <c r="OLB33" s="672"/>
      <c r="OLC33" s="672"/>
      <c r="OLD33" s="672"/>
      <c r="OLE33" s="672"/>
      <c r="OLF33" s="672"/>
      <c r="OLG33" s="672"/>
      <c r="OLH33" s="672"/>
      <c r="OLI33" s="672"/>
      <c r="OLJ33" s="672"/>
      <c r="OLK33" s="672"/>
      <c r="OLL33" s="672"/>
      <c r="OLM33" s="672"/>
      <c r="OLN33" s="672"/>
      <c r="OLO33" s="672"/>
      <c r="OLP33" s="672"/>
      <c r="OLQ33" s="672"/>
      <c r="OLR33" s="672"/>
      <c r="OLS33" s="672"/>
      <c r="OLT33" s="672"/>
      <c r="OLU33" s="672"/>
      <c r="OLV33" s="672"/>
      <c r="OLW33" s="672"/>
      <c r="OLX33" s="672"/>
      <c r="OLY33" s="672"/>
      <c r="OLZ33" s="672"/>
      <c r="OMA33" s="672"/>
      <c r="OMB33" s="672"/>
      <c r="OMC33" s="672"/>
      <c r="OMD33" s="672"/>
      <c r="OME33" s="672"/>
      <c r="OMF33" s="672"/>
      <c r="OMG33" s="672"/>
      <c r="OMH33" s="672"/>
      <c r="OMI33" s="672"/>
      <c r="OMJ33" s="672"/>
      <c r="OMK33" s="672"/>
      <c r="OML33" s="672"/>
      <c r="OMM33" s="672"/>
      <c r="OMN33" s="672"/>
      <c r="OMO33" s="672"/>
      <c r="OMP33" s="672"/>
      <c r="OMQ33" s="672"/>
      <c r="OMR33" s="672"/>
      <c r="OMS33" s="672"/>
      <c r="OMT33" s="672"/>
      <c r="OMU33" s="672"/>
      <c r="OMV33" s="672"/>
      <c r="OMW33" s="672"/>
      <c r="OMX33" s="672"/>
      <c r="OMY33" s="672"/>
      <c r="OMZ33" s="672"/>
      <c r="ONA33" s="672"/>
      <c r="ONB33" s="672"/>
      <c r="ONC33" s="672"/>
      <c r="OND33" s="672"/>
      <c r="ONE33" s="672"/>
      <c r="ONF33" s="672"/>
      <c r="ONG33" s="672"/>
      <c r="ONH33" s="672"/>
      <c r="ONI33" s="672"/>
      <c r="ONJ33" s="672"/>
      <c r="ONK33" s="672"/>
      <c r="ONL33" s="672"/>
      <c r="ONM33" s="672"/>
      <c r="ONN33" s="672"/>
      <c r="ONO33" s="672"/>
      <c r="ONP33" s="672"/>
      <c r="ONQ33" s="672"/>
      <c r="ONR33" s="672"/>
      <c r="ONS33" s="672"/>
      <c r="ONT33" s="672"/>
      <c r="ONU33" s="672"/>
      <c r="ONV33" s="672"/>
      <c r="ONW33" s="672"/>
      <c r="ONX33" s="672"/>
      <c r="ONY33" s="672"/>
      <c r="ONZ33" s="672"/>
      <c r="OOA33" s="672"/>
      <c r="OOB33" s="672"/>
      <c r="OOC33" s="672"/>
      <c r="OOD33" s="672"/>
      <c r="OOE33" s="672"/>
      <c r="OOF33" s="672"/>
      <c r="OOG33" s="672"/>
      <c r="OOH33" s="672"/>
      <c r="OOI33" s="672"/>
      <c r="OOJ33" s="672"/>
      <c r="OOK33" s="672"/>
      <c r="OOL33" s="672"/>
      <c r="OOM33" s="672"/>
      <c r="OON33" s="672"/>
      <c r="OOO33" s="672"/>
      <c r="OOP33" s="672"/>
      <c r="OOQ33" s="672"/>
      <c r="OOR33" s="672"/>
      <c r="OOS33" s="672"/>
      <c r="OOT33" s="672"/>
      <c r="OOU33" s="672"/>
      <c r="OOV33" s="672"/>
      <c r="OOW33" s="672"/>
      <c r="OOX33" s="672"/>
      <c r="OOY33" s="672"/>
      <c r="OOZ33" s="672"/>
      <c r="OPA33" s="672"/>
      <c r="OPB33" s="672"/>
      <c r="OPC33" s="672"/>
      <c r="OPD33" s="672"/>
      <c r="OPE33" s="672"/>
      <c r="OPF33" s="672"/>
      <c r="OPG33" s="672"/>
      <c r="OPH33" s="672"/>
      <c r="OPI33" s="672"/>
      <c r="OPJ33" s="672"/>
      <c r="OPK33" s="672"/>
      <c r="OPL33" s="672"/>
      <c r="OPM33" s="672"/>
      <c r="OPN33" s="672"/>
      <c r="OPO33" s="672"/>
      <c r="OPP33" s="672"/>
      <c r="OPQ33" s="672"/>
      <c r="OPR33" s="672"/>
      <c r="OPS33" s="672"/>
      <c r="OPT33" s="672"/>
      <c r="OPU33" s="672"/>
      <c r="OPV33" s="672"/>
      <c r="OPW33" s="672"/>
      <c r="OPX33" s="672"/>
      <c r="OPY33" s="672"/>
      <c r="OPZ33" s="672"/>
      <c r="OQA33" s="672"/>
      <c r="OQB33" s="672"/>
      <c r="OQC33" s="672"/>
      <c r="OQD33" s="672"/>
      <c r="OQE33" s="672"/>
      <c r="OQF33" s="672"/>
      <c r="OQG33" s="672"/>
      <c r="OQH33" s="672"/>
      <c r="OQI33" s="672"/>
      <c r="OQJ33" s="672"/>
      <c r="OQK33" s="672"/>
      <c r="OQL33" s="672"/>
      <c r="OQM33" s="672"/>
      <c r="OQN33" s="672"/>
      <c r="OQO33" s="672"/>
      <c r="OQP33" s="672"/>
      <c r="OQQ33" s="672"/>
      <c r="OQR33" s="672"/>
      <c r="OQS33" s="672"/>
      <c r="OQT33" s="672"/>
      <c r="OQU33" s="672"/>
      <c r="OQV33" s="672"/>
      <c r="OQW33" s="672"/>
      <c r="OQX33" s="672"/>
      <c r="OQY33" s="672"/>
      <c r="OQZ33" s="672"/>
      <c r="ORA33" s="672"/>
      <c r="ORB33" s="672"/>
      <c r="ORC33" s="672"/>
      <c r="ORD33" s="672"/>
      <c r="ORE33" s="672"/>
      <c r="ORF33" s="672"/>
      <c r="ORG33" s="672"/>
      <c r="ORH33" s="672"/>
      <c r="ORI33" s="672"/>
      <c r="ORJ33" s="672"/>
      <c r="ORK33" s="672"/>
      <c r="ORL33" s="672"/>
      <c r="ORM33" s="672"/>
      <c r="ORN33" s="672"/>
      <c r="ORO33" s="672"/>
      <c r="ORP33" s="672"/>
      <c r="ORQ33" s="672"/>
      <c r="ORR33" s="672"/>
      <c r="ORS33" s="672"/>
      <c r="ORT33" s="672"/>
      <c r="ORU33" s="672"/>
      <c r="ORV33" s="672"/>
      <c r="ORW33" s="672"/>
      <c r="ORX33" s="672"/>
      <c r="ORY33" s="672"/>
      <c r="ORZ33" s="672"/>
      <c r="OSA33" s="672"/>
      <c r="OSB33" s="672"/>
      <c r="OSC33" s="672"/>
      <c r="OSD33" s="672"/>
      <c r="OSE33" s="672"/>
      <c r="OSF33" s="672"/>
      <c r="OSG33" s="672"/>
      <c r="OSH33" s="672"/>
      <c r="OSI33" s="672"/>
      <c r="OSJ33" s="672"/>
      <c r="OSK33" s="672"/>
      <c r="OSL33" s="672"/>
      <c r="OSM33" s="672"/>
      <c r="OSN33" s="672"/>
      <c r="OSO33" s="672"/>
      <c r="OSP33" s="672"/>
      <c r="OSQ33" s="672"/>
      <c r="OSR33" s="672"/>
      <c r="OSS33" s="672"/>
      <c r="OST33" s="672"/>
      <c r="OSU33" s="672"/>
      <c r="OSV33" s="672"/>
      <c r="OSW33" s="672"/>
      <c r="OSX33" s="672"/>
      <c r="OSY33" s="672"/>
      <c r="OSZ33" s="672"/>
      <c r="OTA33" s="672"/>
      <c r="OTB33" s="672"/>
      <c r="OTC33" s="672"/>
      <c r="OTD33" s="672"/>
      <c r="OTE33" s="672"/>
      <c r="OTF33" s="672"/>
      <c r="OTG33" s="672"/>
      <c r="OTH33" s="672"/>
      <c r="OTI33" s="672"/>
      <c r="OTJ33" s="672"/>
      <c r="OTK33" s="672"/>
      <c r="OTL33" s="672"/>
      <c r="OTM33" s="672"/>
      <c r="OTN33" s="672"/>
      <c r="OTO33" s="672"/>
      <c r="OTP33" s="672"/>
      <c r="OTQ33" s="672"/>
      <c r="OTR33" s="672"/>
      <c r="OTS33" s="672"/>
      <c r="OTT33" s="672"/>
      <c r="OTU33" s="672"/>
      <c r="OTV33" s="672"/>
      <c r="OTW33" s="672"/>
      <c r="OTX33" s="672"/>
      <c r="OTY33" s="672"/>
      <c r="OTZ33" s="672"/>
      <c r="OUA33" s="672"/>
      <c r="OUB33" s="672"/>
      <c r="OUC33" s="672"/>
      <c r="OUD33" s="672"/>
      <c r="OUE33" s="672"/>
      <c r="OUF33" s="672"/>
      <c r="OUG33" s="672"/>
      <c r="OUH33" s="672"/>
      <c r="OUI33" s="672"/>
      <c r="OUJ33" s="672"/>
      <c r="OUK33" s="672"/>
      <c r="OUL33" s="672"/>
      <c r="OUM33" s="672"/>
      <c r="OUN33" s="672"/>
      <c r="OUO33" s="672"/>
      <c r="OUP33" s="672"/>
      <c r="OUQ33" s="672"/>
      <c r="OUR33" s="672"/>
      <c r="OUS33" s="672"/>
      <c r="OUT33" s="672"/>
      <c r="OUU33" s="672"/>
      <c r="OUV33" s="672"/>
      <c r="OUW33" s="672"/>
      <c r="OUX33" s="672"/>
      <c r="OUY33" s="672"/>
      <c r="OUZ33" s="672"/>
      <c r="OVA33" s="672"/>
      <c r="OVB33" s="672"/>
      <c r="OVC33" s="672"/>
      <c r="OVD33" s="672"/>
      <c r="OVE33" s="672"/>
      <c r="OVF33" s="672"/>
      <c r="OVG33" s="672"/>
      <c r="OVH33" s="672"/>
      <c r="OVI33" s="672"/>
      <c r="OVJ33" s="672"/>
      <c r="OVK33" s="672"/>
      <c r="OVL33" s="672"/>
      <c r="OVM33" s="672"/>
      <c r="OVN33" s="672"/>
      <c r="OVO33" s="672"/>
      <c r="OVP33" s="672"/>
      <c r="OVQ33" s="672"/>
      <c r="OVR33" s="672"/>
      <c r="OVS33" s="672"/>
      <c r="OVT33" s="672"/>
      <c r="OVU33" s="672"/>
      <c r="OVV33" s="672"/>
      <c r="OVW33" s="672"/>
      <c r="OVX33" s="672"/>
      <c r="OVY33" s="672"/>
      <c r="OVZ33" s="672"/>
      <c r="OWA33" s="672"/>
      <c r="OWB33" s="672"/>
      <c r="OWC33" s="672"/>
      <c r="OWD33" s="672"/>
      <c r="OWE33" s="672"/>
      <c r="OWF33" s="672"/>
      <c r="OWG33" s="672"/>
      <c r="OWH33" s="672"/>
      <c r="OWI33" s="672"/>
      <c r="OWJ33" s="672"/>
      <c r="OWK33" s="672"/>
      <c r="OWL33" s="672"/>
      <c r="OWM33" s="672"/>
      <c r="OWN33" s="672"/>
      <c r="OWO33" s="672"/>
      <c r="OWP33" s="672"/>
      <c r="OWQ33" s="672"/>
      <c r="OWR33" s="672"/>
      <c r="OWS33" s="672"/>
      <c r="OWT33" s="672"/>
      <c r="OWU33" s="672"/>
      <c r="OWV33" s="672"/>
      <c r="OWW33" s="672"/>
      <c r="OWX33" s="672"/>
      <c r="OWY33" s="672"/>
      <c r="OWZ33" s="672"/>
      <c r="OXA33" s="672"/>
      <c r="OXB33" s="672"/>
      <c r="OXC33" s="672"/>
      <c r="OXD33" s="672"/>
      <c r="OXE33" s="672"/>
      <c r="OXF33" s="672"/>
      <c r="OXG33" s="672"/>
      <c r="OXH33" s="672"/>
      <c r="OXI33" s="672"/>
      <c r="OXJ33" s="672"/>
      <c r="OXK33" s="672"/>
      <c r="OXL33" s="672"/>
      <c r="OXM33" s="672"/>
      <c r="OXN33" s="672"/>
      <c r="OXO33" s="672"/>
      <c r="OXP33" s="672"/>
      <c r="OXQ33" s="672"/>
      <c r="OXR33" s="672"/>
      <c r="OXS33" s="672"/>
      <c r="OXT33" s="672"/>
      <c r="OXU33" s="672"/>
      <c r="OXV33" s="672"/>
      <c r="OXW33" s="672"/>
      <c r="OXX33" s="672"/>
      <c r="OXY33" s="672"/>
      <c r="OXZ33" s="672"/>
      <c r="OYA33" s="672"/>
      <c r="OYB33" s="672"/>
      <c r="OYC33" s="672"/>
      <c r="OYD33" s="672"/>
      <c r="OYE33" s="672"/>
      <c r="OYF33" s="672"/>
      <c r="OYG33" s="672"/>
      <c r="OYH33" s="672"/>
      <c r="OYI33" s="672"/>
      <c r="OYJ33" s="672"/>
      <c r="OYK33" s="672"/>
      <c r="OYL33" s="672"/>
      <c r="OYM33" s="672"/>
      <c r="OYN33" s="672"/>
      <c r="OYO33" s="672"/>
      <c r="OYP33" s="672"/>
      <c r="OYQ33" s="672"/>
      <c r="OYR33" s="672"/>
      <c r="OYS33" s="672"/>
      <c r="OYT33" s="672"/>
      <c r="OYU33" s="672"/>
      <c r="OYV33" s="672"/>
      <c r="OYW33" s="672"/>
      <c r="OYX33" s="672"/>
      <c r="OYY33" s="672"/>
      <c r="OYZ33" s="672"/>
      <c r="OZA33" s="672"/>
      <c r="OZB33" s="672"/>
      <c r="OZC33" s="672"/>
      <c r="OZD33" s="672"/>
      <c r="OZE33" s="672"/>
      <c r="OZF33" s="672"/>
      <c r="OZG33" s="672"/>
      <c r="OZH33" s="672"/>
      <c r="OZI33" s="672"/>
      <c r="OZJ33" s="672"/>
      <c r="OZK33" s="672"/>
      <c r="OZL33" s="672"/>
      <c r="OZM33" s="672"/>
      <c r="OZN33" s="672"/>
      <c r="OZO33" s="672"/>
      <c r="OZP33" s="672"/>
      <c r="OZQ33" s="672"/>
      <c r="OZR33" s="672"/>
      <c r="OZS33" s="672"/>
      <c r="OZT33" s="672"/>
      <c r="OZU33" s="672"/>
      <c r="OZV33" s="672"/>
      <c r="OZW33" s="672"/>
      <c r="OZX33" s="672"/>
      <c r="OZY33" s="672"/>
      <c r="OZZ33" s="672"/>
      <c r="PAA33" s="672"/>
      <c r="PAB33" s="672"/>
      <c r="PAC33" s="672"/>
      <c r="PAD33" s="672"/>
      <c r="PAE33" s="672"/>
      <c r="PAF33" s="672"/>
      <c r="PAG33" s="672"/>
      <c r="PAH33" s="672"/>
      <c r="PAI33" s="672"/>
      <c r="PAJ33" s="672"/>
      <c r="PAK33" s="672"/>
      <c r="PAL33" s="672"/>
      <c r="PAM33" s="672"/>
      <c r="PAN33" s="672"/>
      <c r="PAO33" s="672"/>
      <c r="PAP33" s="672"/>
      <c r="PAQ33" s="672"/>
      <c r="PAR33" s="672"/>
      <c r="PAS33" s="672"/>
      <c r="PAT33" s="672"/>
      <c r="PAU33" s="672"/>
      <c r="PAV33" s="672"/>
      <c r="PAW33" s="672"/>
      <c r="PAX33" s="672"/>
      <c r="PAY33" s="672"/>
      <c r="PAZ33" s="672"/>
      <c r="PBA33" s="672"/>
      <c r="PBB33" s="672"/>
      <c r="PBC33" s="672"/>
      <c r="PBD33" s="672"/>
      <c r="PBE33" s="672"/>
      <c r="PBF33" s="672"/>
      <c r="PBG33" s="672"/>
      <c r="PBH33" s="672"/>
      <c r="PBI33" s="672"/>
      <c r="PBJ33" s="672"/>
      <c r="PBK33" s="672"/>
      <c r="PBL33" s="672"/>
      <c r="PBM33" s="672"/>
      <c r="PBN33" s="672"/>
      <c r="PBO33" s="672"/>
      <c r="PBP33" s="672"/>
      <c r="PBQ33" s="672"/>
      <c r="PBR33" s="672"/>
      <c r="PBS33" s="672"/>
      <c r="PBT33" s="672"/>
      <c r="PBU33" s="672"/>
      <c r="PBV33" s="672"/>
      <c r="PBW33" s="672"/>
      <c r="PBX33" s="672"/>
      <c r="PBY33" s="672"/>
      <c r="PBZ33" s="672"/>
      <c r="PCA33" s="672"/>
      <c r="PCB33" s="672"/>
      <c r="PCC33" s="672"/>
      <c r="PCD33" s="672"/>
      <c r="PCE33" s="672"/>
      <c r="PCF33" s="672"/>
      <c r="PCG33" s="672"/>
      <c r="PCH33" s="672"/>
      <c r="PCI33" s="672"/>
      <c r="PCJ33" s="672"/>
      <c r="PCK33" s="672"/>
      <c r="PCL33" s="672"/>
      <c r="PCM33" s="672"/>
      <c r="PCN33" s="672"/>
      <c r="PCO33" s="672"/>
      <c r="PCP33" s="672"/>
      <c r="PCQ33" s="672"/>
      <c r="PCR33" s="672"/>
      <c r="PCS33" s="672"/>
      <c r="PCT33" s="672"/>
      <c r="PCU33" s="672"/>
      <c r="PCV33" s="672"/>
      <c r="PCW33" s="672"/>
      <c r="PCX33" s="672"/>
      <c r="PCY33" s="672"/>
      <c r="PCZ33" s="672"/>
      <c r="PDA33" s="672"/>
      <c r="PDB33" s="672"/>
      <c r="PDC33" s="672"/>
      <c r="PDD33" s="672"/>
      <c r="PDE33" s="672"/>
      <c r="PDF33" s="672"/>
      <c r="PDG33" s="672"/>
      <c r="PDH33" s="672"/>
      <c r="PDI33" s="672"/>
      <c r="PDJ33" s="672"/>
      <c r="PDK33" s="672"/>
      <c r="PDL33" s="672"/>
      <c r="PDM33" s="672"/>
      <c r="PDN33" s="672"/>
      <c r="PDO33" s="672"/>
      <c r="PDP33" s="672"/>
      <c r="PDQ33" s="672"/>
      <c r="PDR33" s="672"/>
      <c r="PDS33" s="672"/>
      <c r="PDT33" s="672"/>
      <c r="PDU33" s="672"/>
      <c r="PDV33" s="672"/>
      <c r="PDW33" s="672"/>
      <c r="PDX33" s="672"/>
      <c r="PDY33" s="672"/>
      <c r="PDZ33" s="672"/>
      <c r="PEA33" s="672"/>
      <c r="PEB33" s="672"/>
      <c r="PEC33" s="672"/>
      <c r="PED33" s="672"/>
      <c r="PEE33" s="672"/>
      <c r="PEF33" s="672"/>
      <c r="PEG33" s="672"/>
      <c r="PEH33" s="672"/>
      <c r="PEI33" s="672"/>
      <c r="PEJ33" s="672"/>
      <c r="PEK33" s="672"/>
      <c r="PEL33" s="672"/>
      <c r="PEM33" s="672"/>
      <c r="PEN33" s="672"/>
      <c r="PEO33" s="672"/>
      <c r="PEP33" s="672"/>
      <c r="PEQ33" s="672"/>
      <c r="PER33" s="672"/>
      <c r="PES33" s="672"/>
      <c r="PET33" s="672"/>
      <c r="PEU33" s="672"/>
      <c r="PEV33" s="672"/>
      <c r="PEW33" s="672"/>
      <c r="PEX33" s="672"/>
      <c r="PEY33" s="672"/>
      <c r="PEZ33" s="672"/>
      <c r="PFA33" s="672"/>
      <c r="PFB33" s="672"/>
      <c r="PFC33" s="672"/>
      <c r="PFD33" s="672"/>
      <c r="PFE33" s="672"/>
      <c r="PFF33" s="672"/>
      <c r="PFG33" s="672"/>
      <c r="PFH33" s="672"/>
      <c r="PFI33" s="672"/>
      <c r="PFJ33" s="672"/>
      <c r="PFK33" s="672"/>
      <c r="PFL33" s="672"/>
      <c r="PFM33" s="672"/>
      <c r="PFN33" s="672"/>
      <c r="PFO33" s="672"/>
      <c r="PFP33" s="672"/>
      <c r="PFQ33" s="672"/>
      <c r="PFR33" s="672"/>
      <c r="PFS33" s="672"/>
      <c r="PFT33" s="672"/>
      <c r="PFU33" s="672"/>
      <c r="PFV33" s="672"/>
      <c r="PFW33" s="672"/>
      <c r="PFX33" s="672"/>
      <c r="PFY33" s="672"/>
      <c r="PFZ33" s="672"/>
      <c r="PGA33" s="672"/>
      <c r="PGB33" s="672"/>
      <c r="PGC33" s="672"/>
      <c r="PGD33" s="672"/>
      <c r="PGE33" s="672"/>
      <c r="PGF33" s="672"/>
      <c r="PGG33" s="672"/>
      <c r="PGH33" s="672"/>
      <c r="PGI33" s="672"/>
      <c r="PGJ33" s="672"/>
      <c r="PGK33" s="672"/>
      <c r="PGL33" s="672"/>
      <c r="PGM33" s="672"/>
      <c r="PGN33" s="672"/>
      <c r="PGO33" s="672"/>
      <c r="PGP33" s="672"/>
      <c r="PGQ33" s="672"/>
      <c r="PGR33" s="672"/>
      <c r="PGS33" s="672"/>
      <c r="PGT33" s="672"/>
      <c r="PGU33" s="672"/>
      <c r="PGV33" s="672"/>
      <c r="PGW33" s="672"/>
      <c r="PGX33" s="672"/>
      <c r="PGY33" s="672"/>
      <c r="PGZ33" s="672"/>
      <c r="PHA33" s="672"/>
      <c r="PHB33" s="672"/>
      <c r="PHC33" s="672"/>
      <c r="PHD33" s="672"/>
      <c r="PHE33" s="672"/>
      <c r="PHF33" s="672"/>
      <c r="PHG33" s="672"/>
      <c r="PHH33" s="672"/>
      <c r="PHI33" s="672"/>
      <c r="PHJ33" s="672"/>
      <c r="PHK33" s="672"/>
      <c r="PHL33" s="672"/>
      <c r="PHM33" s="672"/>
      <c r="PHN33" s="672"/>
      <c r="PHO33" s="672"/>
      <c r="PHP33" s="672"/>
      <c r="PHQ33" s="672"/>
      <c r="PHR33" s="672"/>
      <c r="PHS33" s="672"/>
      <c r="PHT33" s="672"/>
      <c r="PHU33" s="672"/>
      <c r="PHV33" s="672"/>
      <c r="PHW33" s="672"/>
      <c r="PHX33" s="672"/>
      <c r="PHY33" s="672"/>
      <c r="PHZ33" s="672"/>
      <c r="PIA33" s="672"/>
      <c r="PIB33" s="672"/>
      <c r="PIC33" s="672"/>
      <c r="PID33" s="672"/>
      <c r="PIE33" s="672"/>
      <c r="PIF33" s="672"/>
      <c r="PIG33" s="672"/>
      <c r="PIH33" s="672"/>
      <c r="PII33" s="672"/>
      <c r="PIJ33" s="672"/>
      <c r="PIK33" s="672"/>
      <c r="PIL33" s="672"/>
      <c r="PIM33" s="672"/>
      <c r="PIN33" s="672"/>
      <c r="PIO33" s="672"/>
      <c r="PIP33" s="672"/>
      <c r="PIQ33" s="672"/>
      <c r="PIR33" s="672"/>
      <c r="PIS33" s="672"/>
      <c r="PIT33" s="672"/>
      <c r="PIU33" s="672"/>
      <c r="PIV33" s="672"/>
      <c r="PIW33" s="672"/>
      <c r="PIX33" s="672"/>
      <c r="PIY33" s="672"/>
      <c r="PIZ33" s="672"/>
      <c r="PJA33" s="672"/>
      <c r="PJB33" s="672"/>
      <c r="PJC33" s="672"/>
      <c r="PJD33" s="672"/>
      <c r="PJE33" s="672"/>
      <c r="PJF33" s="672"/>
      <c r="PJG33" s="672"/>
      <c r="PJH33" s="672"/>
      <c r="PJI33" s="672"/>
      <c r="PJJ33" s="672"/>
      <c r="PJK33" s="672"/>
      <c r="PJL33" s="672"/>
      <c r="PJM33" s="672"/>
      <c r="PJN33" s="672"/>
      <c r="PJO33" s="672"/>
      <c r="PJP33" s="672"/>
      <c r="PJQ33" s="672"/>
      <c r="PJR33" s="672"/>
      <c r="PJS33" s="672"/>
      <c r="PJT33" s="672"/>
      <c r="PJU33" s="672"/>
      <c r="PJV33" s="672"/>
      <c r="PJW33" s="672"/>
      <c r="PJX33" s="672"/>
      <c r="PJY33" s="672"/>
      <c r="PJZ33" s="672"/>
      <c r="PKA33" s="672"/>
      <c r="PKB33" s="672"/>
      <c r="PKC33" s="672"/>
      <c r="PKD33" s="672"/>
      <c r="PKE33" s="672"/>
      <c r="PKF33" s="672"/>
      <c r="PKG33" s="672"/>
      <c r="PKH33" s="672"/>
      <c r="PKI33" s="672"/>
      <c r="PKJ33" s="672"/>
      <c r="PKK33" s="672"/>
      <c r="PKL33" s="672"/>
      <c r="PKM33" s="672"/>
      <c r="PKN33" s="672"/>
      <c r="PKO33" s="672"/>
      <c r="PKP33" s="672"/>
      <c r="PKQ33" s="672"/>
      <c r="PKR33" s="672"/>
      <c r="PKS33" s="672"/>
      <c r="PKT33" s="672"/>
      <c r="PKU33" s="672"/>
      <c r="PKV33" s="672"/>
      <c r="PKW33" s="672"/>
      <c r="PKX33" s="672"/>
      <c r="PKY33" s="672"/>
      <c r="PKZ33" s="672"/>
      <c r="PLA33" s="672"/>
      <c r="PLB33" s="672"/>
      <c r="PLC33" s="672"/>
      <c r="PLD33" s="672"/>
      <c r="PLE33" s="672"/>
      <c r="PLF33" s="672"/>
      <c r="PLG33" s="672"/>
      <c r="PLH33" s="672"/>
      <c r="PLI33" s="672"/>
      <c r="PLJ33" s="672"/>
      <c r="PLK33" s="672"/>
      <c r="PLL33" s="672"/>
      <c r="PLM33" s="672"/>
      <c r="PLN33" s="672"/>
      <c r="PLO33" s="672"/>
      <c r="PLP33" s="672"/>
      <c r="PLQ33" s="672"/>
      <c r="PLR33" s="672"/>
      <c r="PLS33" s="672"/>
      <c r="PLT33" s="672"/>
      <c r="PLU33" s="672"/>
      <c r="PLV33" s="672"/>
      <c r="PLW33" s="672"/>
      <c r="PLX33" s="672"/>
      <c r="PLY33" s="672"/>
      <c r="PLZ33" s="672"/>
      <c r="PMA33" s="672"/>
      <c r="PMB33" s="672"/>
      <c r="PMC33" s="672"/>
      <c r="PMD33" s="672"/>
      <c r="PME33" s="672"/>
      <c r="PMF33" s="672"/>
      <c r="PMG33" s="672"/>
      <c r="PMH33" s="672"/>
      <c r="PMI33" s="672"/>
      <c r="PMJ33" s="672"/>
      <c r="PMK33" s="672"/>
      <c r="PML33" s="672"/>
      <c r="PMM33" s="672"/>
      <c r="PMN33" s="672"/>
      <c r="PMO33" s="672"/>
      <c r="PMP33" s="672"/>
      <c r="PMQ33" s="672"/>
      <c r="PMR33" s="672"/>
      <c r="PMS33" s="672"/>
      <c r="PMT33" s="672"/>
      <c r="PMU33" s="672"/>
      <c r="PMV33" s="672"/>
      <c r="PMW33" s="672"/>
      <c r="PMX33" s="672"/>
      <c r="PMY33" s="672"/>
      <c r="PMZ33" s="672"/>
      <c r="PNA33" s="672"/>
      <c r="PNB33" s="672"/>
      <c r="PNC33" s="672"/>
      <c r="PND33" s="672"/>
      <c r="PNE33" s="672"/>
      <c r="PNF33" s="672"/>
      <c r="PNG33" s="672"/>
      <c r="PNH33" s="672"/>
      <c r="PNI33" s="672"/>
      <c r="PNJ33" s="672"/>
      <c r="PNK33" s="672"/>
      <c r="PNL33" s="672"/>
      <c r="PNM33" s="672"/>
      <c r="PNN33" s="672"/>
      <c r="PNO33" s="672"/>
      <c r="PNP33" s="672"/>
      <c r="PNQ33" s="672"/>
      <c r="PNR33" s="672"/>
      <c r="PNS33" s="672"/>
      <c r="PNT33" s="672"/>
      <c r="PNU33" s="672"/>
      <c r="PNV33" s="672"/>
      <c r="PNW33" s="672"/>
      <c r="PNX33" s="672"/>
      <c r="PNY33" s="672"/>
      <c r="PNZ33" s="672"/>
      <c r="POA33" s="672"/>
      <c r="POB33" s="672"/>
      <c r="POC33" s="672"/>
      <c r="POD33" s="672"/>
      <c r="POE33" s="672"/>
      <c r="POF33" s="672"/>
      <c r="POG33" s="672"/>
      <c r="POH33" s="672"/>
      <c r="POI33" s="672"/>
      <c r="POJ33" s="672"/>
      <c r="POK33" s="672"/>
      <c r="POL33" s="672"/>
      <c r="POM33" s="672"/>
      <c r="PON33" s="672"/>
      <c r="POO33" s="672"/>
      <c r="POP33" s="672"/>
      <c r="POQ33" s="672"/>
      <c r="POR33" s="672"/>
      <c r="POS33" s="672"/>
      <c r="POT33" s="672"/>
      <c r="POU33" s="672"/>
      <c r="POV33" s="672"/>
      <c r="POW33" s="672"/>
      <c r="POX33" s="672"/>
      <c r="POY33" s="672"/>
      <c r="POZ33" s="672"/>
      <c r="PPA33" s="672"/>
      <c r="PPB33" s="672"/>
      <c r="PPC33" s="672"/>
      <c r="PPD33" s="672"/>
      <c r="PPE33" s="672"/>
      <c r="PPF33" s="672"/>
      <c r="PPG33" s="672"/>
      <c r="PPH33" s="672"/>
      <c r="PPI33" s="672"/>
      <c r="PPJ33" s="672"/>
      <c r="PPK33" s="672"/>
      <c r="PPL33" s="672"/>
      <c r="PPM33" s="672"/>
      <c r="PPN33" s="672"/>
      <c r="PPO33" s="672"/>
      <c r="PPP33" s="672"/>
      <c r="PPQ33" s="672"/>
      <c r="PPR33" s="672"/>
      <c r="PPS33" s="672"/>
      <c r="PPT33" s="672"/>
      <c r="PPU33" s="672"/>
      <c r="PPV33" s="672"/>
      <c r="PPW33" s="672"/>
      <c r="PPX33" s="672"/>
      <c r="PPY33" s="672"/>
      <c r="PPZ33" s="672"/>
      <c r="PQA33" s="672"/>
      <c r="PQB33" s="672"/>
      <c r="PQC33" s="672"/>
      <c r="PQD33" s="672"/>
      <c r="PQE33" s="672"/>
      <c r="PQF33" s="672"/>
      <c r="PQG33" s="672"/>
      <c r="PQH33" s="672"/>
      <c r="PQI33" s="672"/>
      <c r="PQJ33" s="672"/>
      <c r="PQK33" s="672"/>
      <c r="PQL33" s="672"/>
      <c r="PQM33" s="672"/>
      <c r="PQN33" s="672"/>
      <c r="PQO33" s="672"/>
      <c r="PQP33" s="672"/>
      <c r="PQQ33" s="672"/>
      <c r="PQR33" s="672"/>
      <c r="PQS33" s="672"/>
      <c r="PQT33" s="672"/>
      <c r="PQU33" s="672"/>
      <c r="PQV33" s="672"/>
      <c r="PQW33" s="672"/>
      <c r="PQX33" s="672"/>
      <c r="PQY33" s="672"/>
      <c r="PQZ33" s="672"/>
      <c r="PRA33" s="672"/>
      <c r="PRB33" s="672"/>
      <c r="PRC33" s="672"/>
      <c r="PRD33" s="672"/>
      <c r="PRE33" s="672"/>
      <c r="PRF33" s="672"/>
      <c r="PRG33" s="672"/>
      <c r="PRH33" s="672"/>
      <c r="PRI33" s="672"/>
      <c r="PRJ33" s="672"/>
      <c r="PRK33" s="672"/>
      <c r="PRL33" s="672"/>
      <c r="PRM33" s="672"/>
      <c r="PRN33" s="672"/>
      <c r="PRO33" s="672"/>
      <c r="PRP33" s="672"/>
      <c r="PRQ33" s="672"/>
      <c r="PRR33" s="672"/>
      <c r="PRS33" s="672"/>
      <c r="PRT33" s="672"/>
      <c r="PRU33" s="672"/>
      <c r="PRV33" s="672"/>
      <c r="PRW33" s="672"/>
      <c r="PRX33" s="672"/>
      <c r="PRY33" s="672"/>
      <c r="PRZ33" s="672"/>
      <c r="PSA33" s="672"/>
      <c r="PSB33" s="672"/>
      <c r="PSC33" s="672"/>
      <c r="PSD33" s="672"/>
      <c r="PSE33" s="672"/>
      <c r="PSF33" s="672"/>
      <c r="PSG33" s="672"/>
      <c r="PSH33" s="672"/>
      <c r="PSI33" s="672"/>
      <c r="PSJ33" s="672"/>
      <c r="PSK33" s="672"/>
      <c r="PSL33" s="672"/>
      <c r="PSM33" s="672"/>
      <c r="PSN33" s="672"/>
      <c r="PSO33" s="672"/>
      <c r="PSP33" s="672"/>
      <c r="PSQ33" s="672"/>
      <c r="PSR33" s="672"/>
      <c r="PSS33" s="672"/>
      <c r="PST33" s="672"/>
      <c r="PSU33" s="672"/>
      <c r="PSV33" s="672"/>
      <c r="PSW33" s="672"/>
      <c r="PSX33" s="672"/>
      <c r="PSY33" s="672"/>
      <c r="PSZ33" s="672"/>
      <c r="PTA33" s="672"/>
      <c r="PTB33" s="672"/>
      <c r="PTC33" s="672"/>
      <c r="PTD33" s="672"/>
      <c r="PTE33" s="672"/>
      <c r="PTF33" s="672"/>
      <c r="PTG33" s="672"/>
      <c r="PTH33" s="672"/>
      <c r="PTI33" s="672"/>
      <c r="PTJ33" s="672"/>
      <c r="PTK33" s="672"/>
      <c r="PTL33" s="672"/>
      <c r="PTM33" s="672"/>
      <c r="PTN33" s="672"/>
      <c r="PTO33" s="672"/>
      <c r="PTP33" s="672"/>
      <c r="PTQ33" s="672"/>
      <c r="PTR33" s="672"/>
      <c r="PTS33" s="672"/>
      <c r="PTT33" s="672"/>
      <c r="PTU33" s="672"/>
      <c r="PTV33" s="672"/>
      <c r="PTW33" s="672"/>
      <c r="PTX33" s="672"/>
      <c r="PTY33" s="672"/>
      <c r="PTZ33" s="672"/>
      <c r="PUA33" s="672"/>
      <c r="PUB33" s="672"/>
      <c r="PUC33" s="672"/>
      <c r="PUD33" s="672"/>
      <c r="PUE33" s="672"/>
      <c r="PUF33" s="672"/>
      <c r="PUG33" s="672"/>
      <c r="PUH33" s="672"/>
      <c r="PUI33" s="672"/>
      <c r="PUJ33" s="672"/>
      <c r="PUK33" s="672"/>
      <c r="PUL33" s="672"/>
      <c r="PUM33" s="672"/>
      <c r="PUN33" s="672"/>
      <c r="PUO33" s="672"/>
      <c r="PUP33" s="672"/>
      <c r="PUQ33" s="672"/>
      <c r="PUR33" s="672"/>
      <c r="PUS33" s="672"/>
      <c r="PUT33" s="672"/>
      <c r="PUU33" s="672"/>
      <c r="PUV33" s="672"/>
      <c r="PUW33" s="672"/>
      <c r="PUX33" s="672"/>
      <c r="PUY33" s="672"/>
      <c r="PUZ33" s="672"/>
      <c r="PVA33" s="672"/>
      <c r="PVB33" s="672"/>
      <c r="PVC33" s="672"/>
      <c r="PVD33" s="672"/>
      <c r="PVE33" s="672"/>
      <c r="PVF33" s="672"/>
      <c r="PVG33" s="672"/>
      <c r="PVH33" s="672"/>
      <c r="PVI33" s="672"/>
      <c r="PVJ33" s="672"/>
      <c r="PVK33" s="672"/>
      <c r="PVL33" s="672"/>
      <c r="PVM33" s="672"/>
      <c r="PVN33" s="672"/>
      <c r="PVO33" s="672"/>
      <c r="PVP33" s="672"/>
      <c r="PVQ33" s="672"/>
      <c r="PVR33" s="672"/>
      <c r="PVS33" s="672"/>
      <c r="PVT33" s="672"/>
      <c r="PVU33" s="672"/>
      <c r="PVV33" s="672"/>
      <c r="PVW33" s="672"/>
      <c r="PVX33" s="672"/>
      <c r="PVY33" s="672"/>
      <c r="PVZ33" s="672"/>
      <c r="PWA33" s="672"/>
      <c r="PWB33" s="672"/>
      <c r="PWC33" s="672"/>
      <c r="PWD33" s="672"/>
      <c r="PWE33" s="672"/>
      <c r="PWF33" s="672"/>
      <c r="PWG33" s="672"/>
      <c r="PWH33" s="672"/>
      <c r="PWI33" s="672"/>
      <c r="PWJ33" s="672"/>
      <c r="PWK33" s="672"/>
      <c r="PWL33" s="672"/>
      <c r="PWM33" s="672"/>
      <c r="PWN33" s="672"/>
      <c r="PWO33" s="672"/>
      <c r="PWP33" s="672"/>
      <c r="PWQ33" s="672"/>
      <c r="PWR33" s="672"/>
      <c r="PWS33" s="672"/>
      <c r="PWT33" s="672"/>
      <c r="PWU33" s="672"/>
      <c r="PWV33" s="672"/>
      <c r="PWW33" s="672"/>
      <c r="PWX33" s="672"/>
      <c r="PWY33" s="672"/>
      <c r="PWZ33" s="672"/>
      <c r="PXA33" s="672"/>
      <c r="PXB33" s="672"/>
      <c r="PXC33" s="672"/>
      <c r="PXD33" s="672"/>
      <c r="PXE33" s="672"/>
      <c r="PXF33" s="672"/>
      <c r="PXG33" s="672"/>
      <c r="PXH33" s="672"/>
      <c r="PXI33" s="672"/>
      <c r="PXJ33" s="672"/>
      <c r="PXK33" s="672"/>
      <c r="PXL33" s="672"/>
      <c r="PXM33" s="672"/>
      <c r="PXN33" s="672"/>
      <c r="PXO33" s="672"/>
      <c r="PXP33" s="672"/>
      <c r="PXQ33" s="672"/>
      <c r="PXR33" s="672"/>
      <c r="PXS33" s="672"/>
      <c r="PXT33" s="672"/>
      <c r="PXU33" s="672"/>
      <c r="PXV33" s="672"/>
      <c r="PXW33" s="672"/>
      <c r="PXX33" s="672"/>
      <c r="PXY33" s="672"/>
      <c r="PXZ33" s="672"/>
      <c r="PYA33" s="672"/>
      <c r="PYB33" s="672"/>
      <c r="PYC33" s="672"/>
      <c r="PYD33" s="672"/>
      <c r="PYE33" s="672"/>
      <c r="PYF33" s="672"/>
      <c r="PYG33" s="672"/>
      <c r="PYH33" s="672"/>
      <c r="PYI33" s="672"/>
      <c r="PYJ33" s="672"/>
      <c r="PYK33" s="672"/>
      <c r="PYL33" s="672"/>
      <c r="PYM33" s="672"/>
      <c r="PYN33" s="672"/>
      <c r="PYO33" s="672"/>
      <c r="PYP33" s="672"/>
      <c r="PYQ33" s="672"/>
      <c r="PYR33" s="672"/>
      <c r="PYS33" s="672"/>
      <c r="PYT33" s="672"/>
      <c r="PYU33" s="672"/>
      <c r="PYV33" s="672"/>
      <c r="PYW33" s="672"/>
      <c r="PYX33" s="672"/>
      <c r="PYY33" s="672"/>
      <c r="PYZ33" s="672"/>
      <c r="PZA33" s="672"/>
      <c r="PZB33" s="672"/>
      <c r="PZC33" s="672"/>
      <c r="PZD33" s="672"/>
      <c r="PZE33" s="672"/>
      <c r="PZF33" s="672"/>
      <c r="PZG33" s="672"/>
      <c r="PZH33" s="672"/>
      <c r="PZI33" s="672"/>
      <c r="PZJ33" s="672"/>
      <c r="PZK33" s="672"/>
      <c r="PZL33" s="672"/>
      <c r="PZM33" s="672"/>
      <c r="PZN33" s="672"/>
      <c r="PZO33" s="672"/>
      <c r="PZP33" s="672"/>
      <c r="PZQ33" s="672"/>
      <c r="PZR33" s="672"/>
      <c r="PZS33" s="672"/>
      <c r="PZT33" s="672"/>
      <c r="PZU33" s="672"/>
      <c r="PZV33" s="672"/>
      <c r="PZW33" s="672"/>
      <c r="PZX33" s="672"/>
      <c r="PZY33" s="672"/>
      <c r="PZZ33" s="672"/>
      <c r="QAA33" s="672"/>
      <c r="QAB33" s="672"/>
      <c r="QAC33" s="672"/>
      <c r="QAD33" s="672"/>
      <c r="QAE33" s="672"/>
      <c r="QAF33" s="672"/>
      <c r="QAG33" s="672"/>
      <c r="QAH33" s="672"/>
      <c r="QAI33" s="672"/>
      <c r="QAJ33" s="672"/>
      <c r="QAK33" s="672"/>
      <c r="QAL33" s="672"/>
      <c r="QAM33" s="672"/>
      <c r="QAN33" s="672"/>
      <c r="QAO33" s="672"/>
      <c r="QAP33" s="672"/>
      <c r="QAQ33" s="672"/>
      <c r="QAR33" s="672"/>
      <c r="QAS33" s="672"/>
      <c r="QAT33" s="672"/>
      <c r="QAU33" s="672"/>
      <c r="QAV33" s="672"/>
      <c r="QAW33" s="672"/>
      <c r="QAX33" s="672"/>
      <c r="QAY33" s="672"/>
      <c r="QAZ33" s="672"/>
      <c r="QBA33" s="672"/>
      <c r="QBB33" s="672"/>
      <c r="QBC33" s="672"/>
      <c r="QBD33" s="672"/>
      <c r="QBE33" s="672"/>
      <c r="QBF33" s="672"/>
      <c r="QBG33" s="672"/>
      <c r="QBH33" s="672"/>
      <c r="QBI33" s="672"/>
      <c r="QBJ33" s="672"/>
      <c r="QBK33" s="672"/>
      <c r="QBL33" s="672"/>
      <c r="QBM33" s="672"/>
      <c r="QBN33" s="672"/>
      <c r="QBO33" s="672"/>
      <c r="QBP33" s="672"/>
      <c r="QBQ33" s="672"/>
      <c r="QBR33" s="672"/>
      <c r="QBS33" s="672"/>
      <c r="QBT33" s="672"/>
      <c r="QBU33" s="672"/>
      <c r="QBV33" s="672"/>
      <c r="QBW33" s="672"/>
      <c r="QBX33" s="672"/>
      <c r="QBY33" s="672"/>
      <c r="QBZ33" s="672"/>
      <c r="QCA33" s="672"/>
      <c r="QCB33" s="672"/>
      <c r="QCC33" s="672"/>
      <c r="QCD33" s="672"/>
      <c r="QCE33" s="672"/>
      <c r="QCF33" s="672"/>
      <c r="QCG33" s="672"/>
      <c r="QCH33" s="672"/>
      <c r="QCI33" s="672"/>
      <c r="QCJ33" s="672"/>
      <c r="QCK33" s="672"/>
      <c r="QCL33" s="672"/>
      <c r="QCM33" s="672"/>
      <c r="QCN33" s="672"/>
      <c r="QCO33" s="672"/>
      <c r="QCP33" s="672"/>
      <c r="QCQ33" s="672"/>
      <c r="QCR33" s="672"/>
      <c r="QCS33" s="672"/>
      <c r="QCT33" s="672"/>
      <c r="QCU33" s="672"/>
      <c r="QCV33" s="672"/>
      <c r="QCW33" s="672"/>
      <c r="QCX33" s="672"/>
      <c r="QCY33" s="672"/>
      <c r="QCZ33" s="672"/>
      <c r="QDA33" s="672"/>
      <c r="QDB33" s="672"/>
      <c r="QDC33" s="672"/>
      <c r="QDD33" s="672"/>
      <c r="QDE33" s="672"/>
      <c r="QDF33" s="672"/>
      <c r="QDG33" s="672"/>
      <c r="QDH33" s="672"/>
      <c r="QDI33" s="672"/>
      <c r="QDJ33" s="672"/>
      <c r="QDK33" s="672"/>
      <c r="QDL33" s="672"/>
      <c r="QDM33" s="672"/>
      <c r="QDN33" s="672"/>
      <c r="QDO33" s="672"/>
      <c r="QDP33" s="672"/>
      <c r="QDQ33" s="672"/>
      <c r="QDR33" s="672"/>
      <c r="QDS33" s="672"/>
      <c r="QDT33" s="672"/>
      <c r="QDU33" s="672"/>
      <c r="QDV33" s="672"/>
      <c r="QDW33" s="672"/>
      <c r="QDX33" s="672"/>
      <c r="QDY33" s="672"/>
      <c r="QDZ33" s="672"/>
      <c r="QEA33" s="672"/>
      <c r="QEB33" s="672"/>
      <c r="QEC33" s="672"/>
      <c r="QED33" s="672"/>
      <c r="QEE33" s="672"/>
      <c r="QEF33" s="672"/>
      <c r="QEG33" s="672"/>
      <c r="QEH33" s="672"/>
      <c r="QEI33" s="672"/>
      <c r="QEJ33" s="672"/>
      <c r="QEK33" s="672"/>
      <c r="QEL33" s="672"/>
      <c r="QEM33" s="672"/>
      <c r="QEN33" s="672"/>
      <c r="QEO33" s="672"/>
      <c r="QEP33" s="672"/>
      <c r="QEQ33" s="672"/>
      <c r="QER33" s="672"/>
      <c r="QES33" s="672"/>
      <c r="QET33" s="672"/>
      <c r="QEU33" s="672"/>
      <c r="QEV33" s="672"/>
      <c r="QEW33" s="672"/>
      <c r="QEX33" s="672"/>
      <c r="QEY33" s="672"/>
      <c r="QEZ33" s="672"/>
      <c r="QFA33" s="672"/>
      <c r="QFB33" s="672"/>
      <c r="QFC33" s="672"/>
      <c r="QFD33" s="672"/>
      <c r="QFE33" s="672"/>
      <c r="QFF33" s="672"/>
      <c r="QFG33" s="672"/>
      <c r="QFH33" s="672"/>
      <c r="QFI33" s="672"/>
      <c r="QFJ33" s="672"/>
      <c r="QFK33" s="672"/>
      <c r="QFL33" s="672"/>
      <c r="QFM33" s="672"/>
      <c r="QFN33" s="672"/>
      <c r="QFO33" s="672"/>
      <c r="QFP33" s="672"/>
      <c r="QFQ33" s="672"/>
      <c r="QFR33" s="672"/>
      <c r="QFS33" s="672"/>
      <c r="QFT33" s="672"/>
      <c r="QFU33" s="672"/>
      <c r="QFV33" s="672"/>
      <c r="QFW33" s="672"/>
      <c r="QFX33" s="672"/>
      <c r="QFY33" s="672"/>
      <c r="QFZ33" s="672"/>
      <c r="QGA33" s="672"/>
      <c r="QGB33" s="672"/>
      <c r="QGC33" s="672"/>
      <c r="QGD33" s="672"/>
      <c r="QGE33" s="672"/>
      <c r="QGF33" s="672"/>
      <c r="QGG33" s="672"/>
      <c r="QGH33" s="672"/>
      <c r="QGI33" s="672"/>
      <c r="QGJ33" s="672"/>
      <c r="QGK33" s="672"/>
      <c r="QGL33" s="672"/>
      <c r="QGM33" s="672"/>
      <c r="QGN33" s="672"/>
      <c r="QGO33" s="672"/>
      <c r="QGP33" s="672"/>
      <c r="QGQ33" s="672"/>
      <c r="QGR33" s="672"/>
      <c r="QGS33" s="672"/>
      <c r="QGT33" s="672"/>
      <c r="QGU33" s="672"/>
      <c r="QGV33" s="672"/>
      <c r="QGW33" s="672"/>
      <c r="QGX33" s="672"/>
      <c r="QGY33" s="672"/>
      <c r="QGZ33" s="672"/>
      <c r="QHA33" s="672"/>
      <c r="QHB33" s="672"/>
      <c r="QHC33" s="672"/>
      <c r="QHD33" s="672"/>
      <c r="QHE33" s="672"/>
      <c r="QHF33" s="672"/>
      <c r="QHG33" s="672"/>
      <c r="QHH33" s="672"/>
      <c r="QHI33" s="672"/>
      <c r="QHJ33" s="672"/>
      <c r="QHK33" s="672"/>
      <c r="QHL33" s="672"/>
      <c r="QHM33" s="672"/>
      <c r="QHN33" s="672"/>
      <c r="QHO33" s="672"/>
      <c r="QHP33" s="672"/>
      <c r="QHQ33" s="672"/>
      <c r="QHR33" s="672"/>
      <c r="QHS33" s="672"/>
      <c r="QHT33" s="672"/>
      <c r="QHU33" s="672"/>
      <c r="QHV33" s="672"/>
      <c r="QHW33" s="672"/>
      <c r="QHX33" s="672"/>
      <c r="QHY33" s="672"/>
      <c r="QHZ33" s="672"/>
      <c r="QIA33" s="672"/>
      <c r="QIB33" s="672"/>
      <c r="QIC33" s="672"/>
      <c r="QID33" s="672"/>
      <c r="QIE33" s="672"/>
      <c r="QIF33" s="672"/>
      <c r="QIG33" s="672"/>
      <c r="QIH33" s="672"/>
      <c r="QII33" s="672"/>
      <c r="QIJ33" s="672"/>
      <c r="QIK33" s="672"/>
      <c r="QIL33" s="672"/>
      <c r="QIM33" s="672"/>
      <c r="QIN33" s="672"/>
      <c r="QIO33" s="672"/>
      <c r="QIP33" s="672"/>
      <c r="QIQ33" s="672"/>
      <c r="QIR33" s="672"/>
      <c r="QIS33" s="672"/>
      <c r="QIT33" s="672"/>
      <c r="QIU33" s="672"/>
      <c r="QIV33" s="672"/>
      <c r="QIW33" s="672"/>
      <c r="QIX33" s="672"/>
      <c r="QIY33" s="672"/>
      <c r="QIZ33" s="672"/>
      <c r="QJA33" s="672"/>
      <c r="QJB33" s="672"/>
      <c r="QJC33" s="672"/>
      <c r="QJD33" s="672"/>
      <c r="QJE33" s="672"/>
      <c r="QJF33" s="672"/>
      <c r="QJG33" s="672"/>
      <c r="QJH33" s="672"/>
      <c r="QJI33" s="672"/>
      <c r="QJJ33" s="672"/>
      <c r="QJK33" s="672"/>
      <c r="QJL33" s="672"/>
      <c r="QJM33" s="672"/>
      <c r="QJN33" s="672"/>
      <c r="QJO33" s="672"/>
      <c r="QJP33" s="672"/>
      <c r="QJQ33" s="672"/>
      <c r="QJR33" s="672"/>
      <c r="QJS33" s="672"/>
      <c r="QJT33" s="672"/>
      <c r="QJU33" s="672"/>
      <c r="QJV33" s="672"/>
      <c r="QJW33" s="672"/>
      <c r="QJX33" s="672"/>
      <c r="QJY33" s="672"/>
      <c r="QJZ33" s="672"/>
      <c r="QKA33" s="672"/>
      <c r="QKB33" s="672"/>
      <c r="QKC33" s="672"/>
      <c r="QKD33" s="672"/>
      <c r="QKE33" s="672"/>
      <c r="QKF33" s="672"/>
      <c r="QKG33" s="672"/>
      <c r="QKH33" s="672"/>
      <c r="QKI33" s="672"/>
      <c r="QKJ33" s="672"/>
      <c r="QKK33" s="672"/>
      <c r="QKL33" s="672"/>
      <c r="QKM33" s="672"/>
      <c r="QKN33" s="672"/>
      <c r="QKO33" s="672"/>
      <c r="QKP33" s="672"/>
      <c r="QKQ33" s="672"/>
      <c r="QKR33" s="672"/>
      <c r="QKS33" s="672"/>
      <c r="QKT33" s="672"/>
      <c r="QKU33" s="672"/>
      <c r="QKV33" s="672"/>
      <c r="QKW33" s="672"/>
      <c r="QKX33" s="672"/>
      <c r="QKY33" s="672"/>
      <c r="QKZ33" s="672"/>
      <c r="QLA33" s="672"/>
      <c r="QLB33" s="672"/>
      <c r="QLC33" s="672"/>
      <c r="QLD33" s="672"/>
      <c r="QLE33" s="672"/>
      <c r="QLF33" s="672"/>
      <c r="QLG33" s="672"/>
      <c r="QLH33" s="672"/>
      <c r="QLI33" s="672"/>
      <c r="QLJ33" s="672"/>
      <c r="QLK33" s="672"/>
      <c r="QLL33" s="672"/>
      <c r="QLM33" s="672"/>
      <c r="QLN33" s="672"/>
      <c r="QLO33" s="672"/>
      <c r="QLP33" s="672"/>
      <c r="QLQ33" s="672"/>
      <c r="QLR33" s="672"/>
      <c r="QLS33" s="672"/>
      <c r="QLT33" s="672"/>
      <c r="QLU33" s="672"/>
      <c r="QLV33" s="672"/>
      <c r="QLW33" s="672"/>
      <c r="QLX33" s="672"/>
      <c r="QLY33" s="672"/>
      <c r="QLZ33" s="672"/>
      <c r="QMA33" s="672"/>
      <c r="QMB33" s="672"/>
      <c r="QMC33" s="672"/>
      <c r="QMD33" s="672"/>
      <c r="QME33" s="672"/>
      <c r="QMF33" s="672"/>
      <c r="QMG33" s="672"/>
      <c r="QMH33" s="672"/>
      <c r="QMI33" s="672"/>
      <c r="QMJ33" s="672"/>
      <c r="QMK33" s="672"/>
      <c r="QML33" s="672"/>
      <c r="QMM33" s="672"/>
      <c r="QMN33" s="672"/>
      <c r="QMO33" s="672"/>
      <c r="QMP33" s="672"/>
      <c r="QMQ33" s="672"/>
      <c r="QMR33" s="672"/>
      <c r="QMS33" s="672"/>
      <c r="QMT33" s="672"/>
      <c r="QMU33" s="672"/>
      <c r="QMV33" s="672"/>
      <c r="QMW33" s="672"/>
      <c r="QMX33" s="672"/>
      <c r="QMY33" s="672"/>
      <c r="QMZ33" s="672"/>
      <c r="QNA33" s="672"/>
      <c r="QNB33" s="672"/>
      <c r="QNC33" s="672"/>
      <c r="QND33" s="672"/>
      <c r="QNE33" s="672"/>
      <c r="QNF33" s="672"/>
      <c r="QNG33" s="672"/>
      <c r="QNH33" s="672"/>
      <c r="QNI33" s="672"/>
      <c r="QNJ33" s="672"/>
      <c r="QNK33" s="672"/>
      <c r="QNL33" s="672"/>
      <c r="QNM33" s="672"/>
      <c r="QNN33" s="672"/>
      <c r="QNO33" s="672"/>
      <c r="QNP33" s="672"/>
      <c r="QNQ33" s="672"/>
      <c r="QNR33" s="672"/>
      <c r="QNS33" s="672"/>
      <c r="QNT33" s="672"/>
      <c r="QNU33" s="672"/>
      <c r="QNV33" s="672"/>
      <c r="QNW33" s="672"/>
      <c r="QNX33" s="672"/>
      <c r="QNY33" s="672"/>
      <c r="QNZ33" s="672"/>
      <c r="QOA33" s="672"/>
      <c r="QOB33" s="672"/>
      <c r="QOC33" s="672"/>
      <c r="QOD33" s="672"/>
      <c r="QOE33" s="672"/>
      <c r="QOF33" s="672"/>
      <c r="QOG33" s="672"/>
      <c r="QOH33" s="672"/>
      <c r="QOI33" s="672"/>
      <c r="QOJ33" s="672"/>
      <c r="QOK33" s="672"/>
      <c r="QOL33" s="672"/>
      <c r="QOM33" s="672"/>
      <c r="QON33" s="672"/>
      <c r="QOO33" s="672"/>
      <c r="QOP33" s="672"/>
      <c r="QOQ33" s="672"/>
      <c r="QOR33" s="672"/>
      <c r="QOS33" s="672"/>
      <c r="QOT33" s="672"/>
      <c r="QOU33" s="672"/>
      <c r="QOV33" s="672"/>
      <c r="QOW33" s="672"/>
      <c r="QOX33" s="672"/>
      <c r="QOY33" s="672"/>
      <c r="QOZ33" s="672"/>
      <c r="QPA33" s="672"/>
      <c r="QPB33" s="672"/>
      <c r="QPC33" s="672"/>
      <c r="QPD33" s="672"/>
      <c r="QPE33" s="672"/>
      <c r="QPF33" s="672"/>
      <c r="QPG33" s="672"/>
      <c r="QPH33" s="672"/>
      <c r="QPI33" s="672"/>
      <c r="QPJ33" s="672"/>
      <c r="QPK33" s="672"/>
      <c r="QPL33" s="672"/>
      <c r="QPM33" s="672"/>
      <c r="QPN33" s="672"/>
      <c r="QPO33" s="672"/>
      <c r="QPP33" s="672"/>
      <c r="QPQ33" s="672"/>
      <c r="QPR33" s="672"/>
      <c r="QPS33" s="672"/>
      <c r="QPT33" s="672"/>
      <c r="QPU33" s="672"/>
      <c r="QPV33" s="672"/>
      <c r="QPW33" s="672"/>
      <c r="QPX33" s="672"/>
      <c r="QPY33" s="672"/>
      <c r="QPZ33" s="672"/>
      <c r="QQA33" s="672"/>
      <c r="QQB33" s="672"/>
      <c r="QQC33" s="672"/>
      <c r="QQD33" s="672"/>
      <c r="QQE33" s="672"/>
      <c r="QQF33" s="672"/>
      <c r="QQG33" s="672"/>
      <c r="QQH33" s="672"/>
      <c r="QQI33" s="672"/>
      <c r="QQJ33" s="672"/>
      <c r="QQK33" s="672"/>
      <c r="QQL33" s="672"/>
      <c r="QQM33" s="672"/>
      <c r="QQN33" s="672"/>
      <c r="QQO33" s="672"/>
      <c r="QQP33" s="672"/>
      <c r="QQQ33" s="672"/>
      <c r="QQR33" s="672"/>
      <c r="QQS33" s="672"/>
      <c r="QQT33" s="672"/>
      <c r="QQU33" s="672"/>
      <c r="QQV33" s="672"/>
      <c r="QQW33" s="672"/>
      <c r="QQX33" s="672"/>
      <c r="QQY33" s="672"/>
      <c r="QQZ33" s="672"/>
      <c r="QRA33" s="672"/>
      <c r="QRB33" s="672"/>
      <c r="QRC33" s="672"/>
      <c r="QRD33" s="672"/>
      <c r="QRE33" s="672"/>
      <c r="QRF33" s="672"/>
      <c r="QRG33" s="672"/>
      <c r="QRH33" s="672"/>
      <c r="QRI33" s="672"/>
      <c r="QRJ33" s="672"/>
      <c r="QRK33" s="672"/>
      <c r="QRL33" s="672"/>
      <c r="QRM33" s="672"/>
      <c r="QRN33" s="672"/>
      <c r="QRO33" s="672"/>
      <c r="QRP33" s="672"/>
      <c r="QRQ33" s="672"/>
      <c r="QRR33" s="672"/>
      <c r="QRS33" s="672"/>
      <c r="QRT33" s="672"/>
      <c r="QRU33" s="672"/>
      <c r="QRV33" s="672"/>
      <c r="QRW33" s="672"/>
      <c r="QRX33" s="672"/>
      <c r="QRY33" s="672"/>
      <c r="QRZ33" s="672"/>
      <c r="QSA33" s="672"/>
      <c r="QSB33" s="672"/>
      <c r="QSC33" s="672"/>
      <c r="QSD33" s="672"/>
      <c r="QSE33" s="672"/>
      <c r="QSF33" s="672"/>
      <c r="QSG33" s="672"/>
      <c r="QSH33" s="672"/>
      <c r="QSI33" s="672"/>
      <c r="QSJ33" s="672"/>
      <c r="QSK33" s="672"/>
      <c r="QSL33" s="672"/>
      <c r="QSM33" s="672"/>
      <c r="QSN33" s="672"/>
      <c r="QSO33" s="672"/>
      <c r="QSP33" s="672"/>
      <c r="QSQ33" s="672"/>
      <c r="QSR33" s="672"/>
      <c r="QSS33" s="672"/>
      <c r="QST33" s="672"/>
      <c r="QSU33" s="672"/>
      <c r="QSV33" s="672"/>
      <c r="QSW33" s="672"/>
      <c r="QSX33" s="672"/>
      <c r="QSY33" s="672"/>
      <c r="QSZ33" s="672"/>
      <c r="QTA33" s="672"/>
      <c r="QTB33" s="672"/>
      <c r="QTC33" s="672"/>
      <c r="QTD33" s="672"/>
      <c r="QTE33" s="672"/>
      <c r="QTF33" s="672"/>
      <c r="QTG33" s="672"/>
      <c r="QTH33" s="672"/>
      <c r="QTI33" s="672"/>
      <c r="QTJ33" s="672"/>
      <c r="QTK33" s="672"/>
      <c r="QTL33" s="672"/>
      <c r="QTM33" s="672"/>
      <c r="QTN33" s="672"/>
      <c r="QTO33" s="672"/>
      <c r="QTP33" s="672"/>
      <c r="QTQ33" s="672"/>
      <c r="QTR33" s="672"/>
      <c r="QTS33" s="672"/>
      <c r="QTT33" s="672"/>
      <c r="QTU33" s="672"/>
      <c r="QTV33" s="672"/>
      <c r="QTW33" s="672"/>
      <c r="QTX33" s="672"/>
      <c r="QTY33" s="672"/>
      <c r="QTZ33" s="672"/>
      <c r="QUA33" s="672"/>
      <c r="QUB33" s="672"/>
      <c r="QUC33" s="672"/>
      <c r="QUD33" s="672"/>
      <c r="QUE33" s="672"/>
      <c r="QUF33" s="672"/>
      <c r="QUG33" s="672"/>
      <c r="QUH33" s="672"/>
      <c r="QUI33" s="672"/>
      <c r="QUJ33" s="672"/>
      <c r="QUK33" s="672"/>
      <c r="QUL33" s="672"/>
      <c r="QUM33" s="672"/>
      <c r="QUN33" s="672"/>
      <c r="QUO33" s="672"/>
      <c r="QUP33" s="672"/>
      <c r="QUQ33" s="672"/>
      <c r="QUR33" s="672"/>
      <c r="QUS33" s="672"/>
      <c r="QUT33" s="672"/>
      <c r="QUU33" s="672"/>
      <c r="QUV33" s="672"/>
      <c r="QUW33" s="672"/>
      <c r="QUX33" s="672"/>
      <c r="QUY33" s="672"/>
      <c r="QUZ33" s="672"/>
      <c r="QVA33" s="672"/>
      <c r="QVB33" s="672"/>
      <c r="QVC33" s="672"/>
      <c r="QVD33" s="672"/>
      <c r="QVE33" s="672"/>
      <c r="QVF33" s="672"/>
      <c r="QVG33" s="672"/>
      <c r="QVH33" s="672"/>
      <c r="QVI33" s="672"/>
      <c r="QVJ33" s="672"/>
      <c r="QVK33" s="672"/>
      <c r="QVL33" s="672"/>
      <c r="QVM33" s="672"/>
      <c r="QVN33" s="672"/>
      <c r="QVO33" s="672"/>
      <c r="QVP33" s="672"/>
      <c r="QVQ33" s="672"/>
      <c r="QVR33" s="672"/>
      <c r="QVS33" s="672"/>
      <c r="QVT33" s="672"/>
      <c r="QVU33" s="672"/>
      <c r="QVV33" s="672"/>
      <c r="QVW33" s="672"/>
      <c r="QVX33" s="672"/>
      <c r="QVY33" s="672"/>
      <c r="QVZ33" s="672"/>
      <c r="QWA33" s="672"/>
      <c r="QWB33" s="672"/>
      <c r="QWC33" s="672"/>
      <c r="QWD33" s="672"/>
      <c r="QWE33" s="672"/>
      <c r="QWF33" s="672"/>
      <c r="QWG33" s="672"/>
      <c r="QWH33" s="672"/>
      <c r="QWI33" s="672"/>
      <c r="QWJ33" s="672"/>
      <c r="QWK33" s="672"/>
      <c r="QWL33" s="672"/>
      <c r="QWM33" s="672"/>
      <c r="QWN33" s="672"/>
      <c r="QWO33" s="672"/>
      <c r="QWP33" s="672"/>
      <c r="QWQ33" s="672"/>
      <c r="QWR33" s="672"/>
      <c r="QWS33" s="672"/>
      <c r="QWT33" s="672"/>
      <c r="QWU33" s="672"/>
      <c r="QWV33" s="672"/>
      <c r="QWW33" s="672"/>
      <c r="QWX33" s="672"/>
      <c r="QWY33" s="672"/>
      <c r="QWZ33" s="672"/>
      <c r="QXA33" s="672"/>
      <c r="QXB33" s="672"/>
      <c r="QXC33" s="672"/>
      <c r="QXD33" s="672"/>
      <c r="QXE33" s="672"/>
      <c r="QXF33" s="672"/>
      <c r="QXG33" s="672"/>
      <c r="QXH33" s="672"/>
      <c r="QXI33" s="672"/>
      <c r="QXJ33" s="672"/>
      <c r="QXK33" s="672"/>
      <c r="QXL33" s="672"/>
      <c r="QXM33" s="672"/>
      <c r="QXN33" s="672"/>
      <c r="QXO33" s="672"/>
      <c r="QXP33" s="672"/>
      <c r="QXQ33" s="672"/>
      <c r="QXR33" s="672"/>
      <c r="QXS33" s="672"/>
      <c r="QXT33" s="672"/>
      <c r="QXU33" s="672"/>
      <c r="QXV33" s="672"/>
      <c r="QXW33" s="672"/>
      <c r="QXX33" s="672"/>
      <c r="QXY33" s="672"/>
      <c r="QXZ33" s="672"/>
      <c r="QYA33" s="672"/>
      <c r="QYB33" s="672"/>
      <c r="QYC33" s="672"/>
      <c r="QYD33" s="672"/>
      <c r="QYE33" s="672"/>
      <c r="QYF33" s="672"/>
      <c r="QYG33" s="672"/>
      <c r="QYH33" s="672"/>
      <c r="QYI33" s="672"/>
      <c r="QYJ33" s="672"/>
      <c r="QYK33" s="672"/>
      <c r="QYL33" s="672"/>
      <c r="QYM33" s="672"/>
      <c r="QYN33" s="672"/>
      <c r="QYO33" s="672"/>
      <c r="QYP33" s="672"/>
      <c r="QYQ33" s="672"/>
      <c r="QYR33" s="672"/>
      <c r="QYS33" s="672"/>
      <c r="QYT33" s="672"/>
      <c r="QYU33" s="672"/>
      <c r="QYV33" s="672"/>
      <c r="QYW33" s="672"/>
      <c r="QYX33" s="672"/>
      <c r="QYY33" s="672"/>
      <c r="QYZ33" s="672"/>
      <c r="QZA33" s="672"/>
      <c r="QZB33" s="672"/>
      <c r="QZC33" s="672"/>
      <c r="QZD33" s="672"/>
      <c r="QZE33" s="672"/>
      <c r="QZF33" s="672"/>
      <c r="QZG33" s="672"/>
      <c r="QZH33" s="672"/>
      <c r="QZI33" s="672"/>
      <c r="QZJ33" s="672"/>
      <c r="QZK33" s="672"/>
      <c r="QZL33" s="672"/>
      <c r="QZM33" s="672"/>
      <c r="QZN33" s="672"/>
      <c r="QZO33" s="672"/>
      <c r="QZP33" s="672"/>
      <c r="QZQ33" s="672"/>
      <c r="QZR33" s="672"/>
      <c r="QZS33" s="672"/>
      <c r="QZT33" s="672"/>
      <c r="QZU33" s="672"/>
      <c r="QZV33" s="672"/>
      <c r="QZW33" s="672"/>
      <c r="QZX33" s="672"/>
      <c r="QZY33" s="672"/>
      <c r="QZZ33" s="672"/>
      <c r="RAA33" s="672"/>
      <c r="RAB33" s="672"/>
      <c r="RAC33" s="672"/>
      <c r="RAD33" s="672"/>
      <c r="RAE33" s="672"/>
      <c r="RAF33" s="672"/>
      <c r="RAG33" s="672"/>
      <c r="RAH33" s="672"/>
      <c r="RAI33" s="672"/>
      <c r="RAJ33" s="672"/>
      <c r="RAK33" s="672"/>
      <c r="RAL33" s="672"/>
      <c r="RAM33" s="672"/>
      <c r="RAN33" s="672"/>
      <c r="RAO33" s="672"/>
      <c r="RAP33" s="672"/>
      <c r="RAQ33" s="672"/>
      <c r="RAR33" s="672"/>
      <c r="RAS33" s="672"/>
      <c r="RAT33" s="672"/>
      <c r="RAU33" s="672"/>
      <c r="RAV33" s="672"/>
      <c r="RAW33" s="672"/>
      <c r="RAX33" s="672"/>
      <c r="RAY33" s="672"/>
      <c r="RAZ33" s="672"/>
      <c r="RBA33" s="672"/>
      <c r="RBB33" s="672"/>
      <c r="RBC33" s="672"/>
      <c r="RBD33" s="672"/>
      <c r="RBE33" s="672"/>
      <c r="RBF33" s="672"/>
      <c r="RBG33" s="672"/>
      <c r="RBH33" s="672"/>
      <c r="RBI33" s="672"/>
      <c r="RBJ33" s="672"/>
      <c r="RBK33" s="672"/>
      <c r="RBL33" s="672"/>
      <c r="RBM33" s="672"/>
      <c r="RBN33" s="672"/>
      <c r="RBO33" s="672"/>
      <c r="RBP33" s="672"/>
      <c r="RBQ33" s="672"/>
      <c r="RBR33" s="672"/>
      <c r="RBS33" s="672"/>
      <c r="RBT33" s="672"/>
      <c r="RBU33" s="672"/>
      <c r="RBV33" s="672"/>
      <c r="RBW33" s="672"/>
      <c r="RBX33" s="672"/>
      <c r="RBY33" s="672"/>
      <c r="RBZ33" s="672"/>
      <c r="RCA33" s="672"/>
      <c r="RCB33" s="672"/>
      <c r="RCC33" s="672"/>
      <c r="RCD33" s="672"/>
      <c r="RCE33" s="672"/>
      <c r="RCF33" s="672"/>
      <c r="RCG33" s="672"/>
      <c r="RCH33" s="672"/>
      <c r="RCI33" s="672"/>
      <c r="RCJ33" s="672"/>
      <c r="RCK33" s="672"/>
      <c r="RCL33" s="672"/>
      <c r="RCM33" s="672"/>
      <c r="RCN33" s="672"/>
      <c r="RCO33" s="672"/>
      <c r="RCP33" s="672"/>
      <c r="RCQ33" s="672"/>
      <c r="RCR33" s="672"/>
      <c r="RCS33" s="672"/>
      <c r="RCT33" s="672"/>
      <c r="RCU33" s="672"/>
      <c r="RCV33" s="672"/>
      <c r="RCW33" s="672"/>
      <c r="RCX33" s="672"/>
      <c r="RCY33" s="672"/>
      <c r="RCZ33" s="672"/>
      <c r="RDA33" s="672"/>
      <c r="RDB33" s="672"/>
      <c r="RDC33" s="672"/>
      <c r="RDD33" s="672"/>
      <c r="RDE33" s="672"/>
      <c r="RDF33" s="672"/>
      <c r="RDG33" s="672"/>
      <c r="RDH33" s="672"/>
      <c r="RDI33" s="672"/>
      <c r="RDJ33" s="672"/>
      <c r="RDK33" s="672"/>
      <c r="RDL33" s="672"/>
      <c r="RDM33" s="672"/>
      <c r="RDN33" s="672"/>
      <c r="RDO33" s="672"/>
      <c r="RDP33" s="672"/>
      <c r="RDQ33" s="672"/>
      <c r="RDR33" s="672"/>
      <c r="RDS33" s="672"/>
      <c r="RDT33" s="672"/>
      <c r="RDU33" s="672"/>
      <c r="RDV33" s="672"/>
      <c r="RDW33" s="672"/>
      <c r="RDX33" s="672"/>
      <c r="RDY33" s="672"/>
      <c r="RDZ33" s="672"/>
      <c r="REA33" s="672"/>
      <c r="REB33" s="672"/>
      <c r="REC33" s="672"/>
      <c r="RED33" s="672"/>
      <c r="REE33" s="672"/>
      <c r="REF33" s="672"/>
      <c r="REG33" s="672"/>
      <c r="REH33" s="672"/>
      <c r="REI33" s="672"/>
      <c r="REJ33" s="672"/>
      <c r="REK33" s="672"/>
      <c r="REL33" s="672"/>
      <c r="REM33" s="672"/>
      <c r="REN33" s="672"/>
      <c r="REO33" s="672"/>
      <c r="REP33" s="672"/>
      <c r="REQ33" s="672"/>
      <c r="RER33" s="672"/>
      <c r="RES33" s="672"/>
      <c r="RET33" s="672"/>
      <c r="REU33" s="672"/>
      <c r="REV33" s="672"/>
      <c r="REW33" s="672"/>
      <c r="REX33" s="672"/>
      <c r="REY33" s="672"/>
      <c r="REZ33" s="672"/>
      <c r="RFA33" s="672"/>
      <c r="RFB33" s="672"/>
      <c r="RFC33" s="672"/>
      <c r="RFD33" s="672"/>
      <c r="RFE33" s="672"/>
      <c r="RFF33" s="672"/>
      <c r="RFG33" s="672"/>
      <c r="RFH33" s="672"/>
      <c r="RFI33" s="672"/>
      <c r="RFJ33" s="672"/>
      <c r="RFK33" s="672"/>
      <c r="RFL33" s="672"/>
      <c r="RFM33" s="672"/>
      <c r="RFN33" s="672"/>
      <c r="RFO33" s="672"/>
      <c r="RFP33" s="672"/>
      <c r="RFQ33" s="672"/>
      <c r="RFR33" s="672"/>
      <c r="RFS33" s="672"/>
      <c r="RFT33" s="672"/>
      <c r="RFU33" s="672"/>
      <c r="RFV33" s="672"/>
      <c r="RFW33" s="672"/>
      <c r="RFX33" s="672"/>
      <c r="RFY33" s="672"/>
      <c r="RFZ33" s="672"/>
      <c r="RGA33" s="672"/>
      <c r="RGB33" s="672"/>
      <c r="RGC33" s="672"/>
      <c r="RGD33" s="672"/>
      <c r="RGE33" s="672"/>
      <c r="RGF33" s="672"/>
      <c r="RGG33" s="672"/>
      <c r="RGH33" s="672"/>
      <c r="RGI33" s="672"/>
      <c r="RGJ33" s="672"/>
      <c r="RGK33" s="672"/>
      <c r="RGL33" s="672"/>
      <c r="RGM33" s="672"/>
      <c r="RGN33" s="672"/>
      <c r="RGO33" s="672"/>
      <c r="RGP33" s="672"/>
      <c r="RGQ33" s="672"/>
      <c r="RGR33" s="672"/>
      <c r="RGS33" s="672"/>
      <c r="RGT33" s="672"/>
      <c r="RGU33" s="672"/>
      <c r="RGV33" s="672"/>
      <c r="RGW33" s="672"/>
      <c r="RGX33" s="672"/>
      <c r="RGY33" s="672"/>
      <c r="RGZ33" s="672"/>
      <c r="RHA33" s="672"/>
      <c r="RHB33" s="672"/>
      <c r="RHC33" s="672"/>
      <c r="RHD33" s="672"/>
      <c r="RHE33" s="672"/>
      <c r="RHF33" s="672"/>
      <c r="RHG33" s="672"/>
      <c r="RHH33" s="672"/>
      <c r="RHI33" s="672"/>
      <c r="RHJ33" s="672"/>
      <c r="RHK33" s="672"/>
      <c r="RHL33" s="672"/>
      <c r="RHM33" s="672"/>
      <c r="RHN33" s="672"/>
      <c r="RHO33" s="672"/>
      <c r="RHP33" s="672"/>
      <c r="RHQ33" s="672"/>
      <c r="RHR33" s="672"/>
      <c r="RHS33" s="672"/>
      <c r="RHT33" s="672"/>
      <c r="RHU33" s="672"/>
      <c r="RHV33" s="672"/>
      <c r="RHW33" s="672"/>
      <c r="RHX33" s="672"/>
      <c r="RHY33" s="672"/>
      <c r="RHZ33" s="672"/>
      <c r="RIA33" s="672"/>
      <c r="RIB33" s="672"/>
      <c r="RIC33" s="672"/>
      <c r="RID33" s="672"/>
      <c r="RIE33" s="672"/>
      <c r="RIF33" s="672"/>
      <c r="RIG33" s="672"/>
      <c r="RIH33" s="672"/>
      <c r="RII33" s="672"/>
      <c r="RIJ33" s="672"/>
      <c r="RIK33" s="672"/>
      <c r="RIL33" s="672"/>
      <c r="RIM33" s="672"/>
      <c r="RIN33" s="672"/>
      <c r="RIO33" s="672"/>
      <c r="RIP33" s="672"/>
      <c r="RIQ33" s="672"/>
      <c r="RIR33" s="672"/>
      <c r="RIS33" s="672"/>
      <c r="RIT33" s="672"/>
      <c r="RIU33" s="672"/>
      <c r="RIV33" s="672"/>
      <c r="RIW33" s="672"/>
      <c r="RIX33" s="672"/>
      <c r="RIY33" s="672"/>
      <c r="RIZ33" s="672"/>
      <c r="RJA33" s="672"/>
      <c r="RJB33" s="672"/>
      <c r="RJC33" s="672"/>
      <c r="RJD33" s="672"/>
      <c r="RJE33" s="672"/>
      <c r="RJF33" s="672"/>
      <c r="RJG33" s="672"/>
      <c r="RJH33" s="672"/>
      <c r="RJI33" s="672"/>
      <c r="RJJ33" s="672"/>
      <c r="RJK33" s="672"/>
      <c r="RJL33" s="672"/>
      <c r="RJM33" s="672"/>
      <c r="RJN33" s="672"/>
      <c r="RJO33" s="672"/>
      <c r="RJP33" s="672"/>
      <c r="RJQ33" s="672"/>
      <c r="RJR33" s="672"/>
      <c r="RJS33" s="672"/>
      <c r="RJT33" s="672"/>
      <c r="RJU33" s="672"/>
      <c r="RJV33" s="672"/>
      <c r="RJW33" s="672"/>
      <c r="RJX33" s="672"/>
      <c r="RJY33" s="672"/>
      <c r="RJZ33" s="672"/>
      <c r="RKA33" s="672"/>
      <c r="RKB33" s="672"/>
      <c r="RKC33" s="672"/>
      <c r="RKD33" s="672"/>
      <c r="RKE33" s="672"/>
      <c r="RKF33" s="672"/>
      <c r="RKG33" s="672"/>
      <c r="RKH33" s="672"/>
      <c r="RKI33" s="672"/>
      <c r="RKJ33" s="672"/>
      <c r="RKK33" s="672"/>
      <c r="RKL33" s="672"/>
      <c r="RKM33" s="672"/>
      <c r="RKN33" s="672"/>
      <c r="RKO33" s="672"/>
      <c r="RKP33" s="672"/>
      <c r="RKQ33" s="672"/>
      <c r="RKR33" s="672"/>
      <c r="RKS33" s="672"/>
      <c r="RKT33" s="672"/>
      <c r="RKU33" s="672"/>
      <c r="RKV33" s="672"/>
      <c r="RKW33" s="672"/>
      <c r="RKX33" s="672"/>
      <c r="RKY33" s="672"/>
      <c r="RKZ33" s="672"/>
      <c r="RLA33" s="672"/>
      <c r="RLB33" s="672"/>
      <c r="RLC33" s="672"/>
      <c r="RLD33" s="672"/>
      <c r="RLE33" s="672"/>
      <c r="RLF33" s="672"/>
      <c r="RLG33" s="672"/>
      <c r="RLH33" s="672"/>
      <c r="RLI33" s="672"/>
      <c r="RLJ33" s="672"/>
      <c r="RLK33" s="672"/>
      <c r="RLL33" s="672"/>
      <c r="RLM33" s="672"/>
      <c r="RLN33" s="672"/>
      <c r="RLO33" s="672"/>
      <c r="RLP33" s="672"/>
      <c r="RLQ33" s="672"/>
      <c r="RLR33" s="672"/>
      <c r="RLS33" s="672"/>
      <c r="RLT33" s="672"/>
      <c r="RLU33" s="672"/>
      <c r="RLV33" s="672"/>
      <c r="RLW33" s="672"/>
      <c r="RLX33" s="672"/>
      <c r="RLY33" s="672"/>
      <c r="RLZ33" s="672"/>
      <c r="RMA33" s="672"/>
      <c r="RMB33" s="672"/>
      <c r="RMC33" s="672"/>
      <c r="RMD33" s="672"/>
      <c r="RME33" s="672"/>
      <c r="RMF33" s="672"/>
      <c r="RMG33" s="672"/>
      <c r="RMH33" s="672"/>
      <c r="RMI33" s="672"/>
      <c r="RMJ33" s="672"/>
      <c r="RMK33" s="672"/>
      <c r="RML33" s="672"/>
      <c r="RMM33" s="672"/>
      <c r="RMN33" s="672"/>
      <c r="RMO33" s="672"/>
      <c r="RMP33" s="672"/>
      <c r="RMQ33" s="672"/>
      <c r="RMR33" s="672"/>
      <c r="RMS33" s="672"/>
      <c r="RMT33" s="672"/>
      <c r="RMU33" s="672"/>
      <c r="RMV33" s="672"/>
      <c r="RMW33" s="672"/>
      <c r="RMX33" s="672"/>
      <c r="RMY33" s="672"/>
      <c r="RMZ33" s="672"/>
      <c r="RNA33" s="672"/>
      <c r="RNB33" s="672"/>
      <c r="RNC33" s="672"/>
      <c r="RND33" s="672"/>
      <c r="RNE33" s="672"/>
      <c r="RNF33" s="672"/>
      <c r="RNG33" s="672"/>
      <c r="RNH33" s="672"/>
      <c r="RNI33" s="672"/>
      <c r="RNJ33" s="672"/>
      <c r="RNK33" s="672"/>
      <c r="RNL33" s="672"/>
      <c r="RNM33" s="672"/>
      <c r="RNN33" s="672"/>
      <c r="RNO33" s="672"/>
      <c r="RNP33" s="672"/>
      <c r="RNQ33" s="672"/>
      <c r="RNR33" s="672"/>
      <c r="RNS33" s="672"/>
      <c r="RNT33" s="672"/>
      <c r="RNU33" s="672"/>
      <c r="RNV33" s="672"/>
      <c r="RNW33" s="672"/>
      <c r="RNX33" s="672"/>
      <c r="RNY33" s="672"/>
      <c r="RNZ33" s="672"/>
      <c r="ROA33" s="672"/>
      <c r="ROB33" s="672"/>
      <c r="ROC33" s="672"/>
      <c r="ROD33" s="672"/>
      <c r="ROE33" s="672"/>
      <c r="ROF33" s="672"/>
      <c r="ROG33" s="672"/>
      <c r="ROH33" s="672"/>
      <c r="ROI33" s="672"/>
      <c r="ROJ33" s="672"/>
      <c r="ROK33" s="672"/>
      <c r="ROL33" s="672"/>
      <c r="ROM33" s="672"/>
      <c r="RON33" s="672"/>
      <c r="ROO33" s="672"/>
      <c r="ROP33" s="672"/>
      <c r="ROQ33" s="672"/>
      <c r="ROR33" s="672"/>
      <c r="ROS33" s="672"/>
      <c r="ROT33" s="672"/>
      <c r="ROU33" s="672"/>
      <c r="ROV33" s="672"/>
      <c r="ROW33" s="672"/>
      <c r="ROX33" s="672"/>
      <c r="ROY33" s="672"/>
      <c r="ROZ33" s="672"/>
      <c r="RPA33" s="672"/>
      <c r="RPB33" s="672"/>
      <c r="RPC33" s="672"/>
      <c r="RPD33" s="672"/>
      <c r="RPE33" s="672"/>
      <c r="RPF33" s="672"/>
      <c r="RPG33" s="672"/>
      <c r="RPH33" s="672"/>
      <c r="RPI33" s="672"/>
      <c r="RPJ33" s="672"/>
      <c r="RPK33" s="672"/>
      <c r="RPL33" s="672"/>
      <c r="RPM33" s="672"/>
      <c r="RPN33" s="672"/>
      <c r="RPO33" s="672"/>
      <c r="RPP33" s="672"/>
      <c r="RPQ33" s="672"/>
      <c r="RPR33" s="672"/>
      <c r="RPS33" s="672"/>
      <c r="RPT33" s="672"/>
      <c r="RPU33" s="672"/>
      <c r="RPV33" s="672"/>
      <c r="RPW33" s="672"/>
      <c r="RPX33" s="672"/>
      <c r="RPY33" s="672"/>
      <c r="RPZ33" s="672"/>
      <c r="RQA33" s="672"/>
      <c r="RQB33" s="672"/>
      <c r="RQC33" s="672"/>
      <c r="RQD33" s="672"/>
      <c r="RQE33" s="672"/>
      <c r="RQF33" s="672"/>
      <c r="RQG33" s="672"/>
      <c r="RQH33" s="672"/>
      <c r="RQI33" s="672"/>
      <c r="RQJ33" s="672"/>
      <c r="RQK33" s="672"/>
      <c r="RQL33" s="672"/>
      <c r="RQM33" s="672"/>
      <c r="RQN33" s="672"/>
      <c r="RQO33" s="672"/>
      <c r="RQP33" s="672"/>
      <c r="RQQ33" s="672"/>
      <c r="RQR33" s="672"/>
      <c r="RQS33" s="672"/>
      <c r="RQT33" s="672"/>
      <c r="RQU33" s="672"/>
      <c r="RQV33" s="672"/>
      <c r="RQW33" s="672"/>
      <c r="RQX33" s="672"/>
      <c r="RQY33" s="672"/>
      <c r="RQZ33" s="672"/>
      <c r="RRA33" s="672"/>
      <c r="RRB33" s="672"/>
      <c r="RRC33" s="672"/>
      <c r="RRD33" s="672"/>
      <c r="RRE33" s="672"/>
      <c r="RRF33" s="672"/>
      <c r="RRG33" s="672"/>
      <c r="RRH33" s="672"/>
      <c r="RRI33" s="672"/>
      <c r="RRJ33" s="672"/>
      <c r="RRK33" s="672"/>
      <c r="RRL33" s="672"/>
      <c r="RRM33" s="672"/>
      <c r="RRN33" s="672"/>
      <c r="RRO33" s="672"/>
      <c r="RRP33" s="672"/>
      <c r="RRQ33" s="672"/>
      <c r="RRR33" s="672"/>
      <c r="RRS33" s="672"/>
      <c r="RRT33" s="672"/>
      <c r="RRU33" s="672"/>
      <c r="RRV33" s="672"/>
      <c r="RRW33" s="672"/>
      <c r="RRX33" s="672"/>
      <c r="RRY33" s="672"/>
      <c r="RRZ33" s="672"/>
      <c r="RSA33" s="672"/>
      <c r="RSB33" s="672"/>
      <c r="RSC33" s="672"/>
      <c r="RSD33" s="672"/>
      <c r="RSE33" s="672"/>
      <c r="RSF33" s="672"/>
      <c r="RSG33" s="672"/>
      <c r="RSH33" s="672"/>
      <c r="RSI33" s="672"/>
      <c r="RSJ33" s="672"/>
      <c r="RSK33" s="672"/>
      <c r="RSL33" s="672"/>
      <c r="RSM33" s="672"/>
      <c r="RSN33" s="672"/>
      <c r="RSO33" s="672"/>
      <c r="RSP33" s="672"/>
      <c r="RSQ33" s="672"/>
      <c r="RSR33" s="672"/>
      <c r="RSS33" s="672"/>
      <c r="RST33" s="672"/>
      <c r="RSU33" s="672"/>
      <c r="RSV33" s="672"/>
      <c r="RSW33" s="672"/>
      <c r="RSX33" s="672"/>
      <c r="RSY33" s="672"/>
      <c r="RSZ33" s="672"/>
      <c r="RTA33" s="672"/>
      <c r="RTB33" s="672"/>
      <c r="RTC33" s="672"/>
      <c r="RTD33" s="672"/>
      <c r="RTE33" s="672"/>
      <c r="RTF33" s="672"/>
      <c r="RTG33" s="672"/>
      <c r="RTH33" s="672"/>
      <c r="RTI33" s="672"/>
      <c r="RTJ33" s="672"/>
      <c r="RTK33" s="672"/>
      <c r="RTL33" s="672"/>
      <c r="RTM33" s="672"/>
      <c r="RTN33" s="672"/>
      <c r="RTO33" s="672"/>
      <c r="RTP33" s="672"/>
      <c r="RTQ33" s="672"/>
      <c r="RTR33" s="672"/>
      <c r="RTS33" s="672"/>
      <c r="RTT33" s="672"/>
      <c r="RTU33" s="672"/>
      <c r="RTV33" s="672"/>
      <c r="RTW33" s="672"/>
      <c r="RTX33" s="672"/>
      <c r="RTY33" s="672"/>
      <c r="RTZ33" s="672"/>
      <c r="RUA33" s="672"/>
      <c r="RUB33" s="672"/>
      <c r="RUC33" s="672"/>
      <c r="RUD33" s="672"/>
      <c r="RUE33" s="672"/>
      <c r="RUF33" s="672"/>
      <c r="RUG33" s="672"/>
      <c r="RUH33" s="672"/>
      <c r="RUI33" s="672"/>
      <c r="RUJ33" s="672"/>
      <c r="RUK33" s="672"/>
      <c r="RUL33" s="672"/>
      <c r="RUM33" s="672"/>
      <c r="RUN33" s="672"/>
      <c r="RUO33" s="672"/>
      <c r="RUP33" s="672"/>
      <c r="RUQ33" s="672"/>
      <c r="RUR33" s="672"/>
      <c r="RUS33" s="672"/>
      <c r="RUT33" s="672"/>
      <c r="RUU33" s="672"/>
      <c r="RUV33" s="672"/>
      <c r="RUW33" s="672"/>
      <c r="RUX33" s="672"/>
      <c r="RUY33" s="672"/>
      <c r="RUZ33" s="672"/>
      <c r="RVA33" s="672"/>
      <c r="RVB33" s="672"/>
      <c r="RVC33" s="672"/>
      <c r="RVD33" s="672"/>
      <c r="RVE33" s="672"/>
      <c r="RVF33" s="672"/>
      <c r="RVG33" s="672"/>
      <c r="RVH33" s="672"/>
      <c r="RVI33" s="672"/>
      <c r="RVJ33" s="672"/>
      <c r="RVK33" s="672"/>
      <c r="RVL33" s="672"/>
      <c r="RVM33" s="672"/>
      <c r="RVN33" s="672"/>
      <c r="RVO33" s="672"/>
      <c r="RVP33" s="672"/>
      <c r="RVQ33" s="672"/>
      <c r="RVR33" s="672"/>
      <c r="RVS33" s="672"/>
      <c r="RVT33" s="672"/>
      <c r="RVU33" s="672"/>
      <c r="RVV33" s="672"/>
      <c r="RVW33" s="672"/>
      <c r="RVX33" s="672"/>
      <c r="RVY33" s="672"/>
      <c r="RVZ33" s="672"/>
      <c r="RWA33" s="672"/>
      <c r="RWB33" s="672"/>
      <c r="RWC33" s="672"/>
      <c r="RWD33" s="672"/>
      <c r="RWE33" s="672"/>
      <c r="RWF33" s="672"/>
      <c r="RWG33" s="672"/>
      <c r="RWH33" s="672"/>
      <c r="RWI33" s="672"/>
      <c r="RWJ33" s="672"/>
      <c r="RWK33" s="672"/>
      <c r="RWL33" s="672"/>
      <c r="RWM33" s="672"/>
      <c r="RWN33" s="672"/>
      <c r="RWO33" s="672"/>
      <c r="RWP33" s="672"/>
      <c r="RWQ33" s="672"/>
      <c r="RWR33" s="672"/>
      <c r="RWS33" s="672"/>
      <c r="RWT33" s="672"/>
      <c r="RWU33" s="672"/>
      <c r="RWV33" s="672"/>
      <c r="RWW33" s="672"/>
      <c r="RWX33" s="672"/>
      <c r="RWY33" s="672"/>
      <c r="RWZ33" s="672"/>
      <c r="RXA33" s="672"/>
      <c r="RXB33" s="672"/>
      <c r="RXC33" s="672"/>
      <c r="RXD33" s="672"/>
      <c r="RXE33" s="672"/>
      <c r="RXF33" s="672"/>
      <c r="RXG33" s="672"/>
      <c r="RXH33" s="672"/>
      <c r="RXI33" s="672"/>
      <c r="RXJ33" s="672"/>
      <c r="RXK33" s="672"/>
      <c r="RXL33" s="672"/>
      <c r="RXM33" s="672"/>
      <c r="RXN33" s="672"/>
      <c r="RXO33" s="672"/>
      <c r="RXP33" s="672"/>
      <c r="RXQ33" s="672"/>
      <c r="RXR33" s="672"/>
      <c r="RXS33" s="672"/>
      <c r="RXT33" s="672"/>
      <c r="RXU33" s="672"/>
      <c r="RXV33" s="672"/>
      <c r="RXW33" s="672"/>
      <c r="RXX33" s="672"/>
      <c r="RXY33" s="672"/>
      <c r="RXZ33" s="672"/>
      <c r="RYA33" s="672"/>
      <c r="RYB33" s="672"/>
      <c r="RYC33" s="672"/>
      <c r="RYD33" s="672"/>
      <c r="RYE33" s="672"/>
      <c r="RYF33" s="672"/>
      <c r="RYG33" s="672"/>
      <c r="RYH33" s="672"/>
      <c r="RYI33" s="672"/>
      <c r="RYJ33" s="672"/>
      <c r="RYK33" s="672"/>
      <c r="RYL33" s="672"/>
      <c r="RYM33" s="672"/>
      <c r="RYN33" s="672"/>
      <c r="RYO33" s="672"/>
      <c r="RYP33" s="672"/>
      <c r="RYQ33" s="672"/>
      <c r="RYR33" s="672"/>
      <c r="RYS33" s="672"/>
      <c r="RYT33" s="672"/>
      <c r="RYU33" s="672"/>
      <c r="RYV33" s="672"/>
      <c r="RYW33" s="672"/>
      <c r="RYX33" s="672"/>
      <c r="RYY33" s="672"/>
      <c r="RYZ33" s="672"/>
      <c r="RZA33" s="672"/>
      <c r="RZB33" s="672"/>
      <c r="RZC33" s="672"/>
      <c r="RZD33" s="672"/>
      <c r="RZE33" s="672"/>
      <c r="RZF33" s="672"/>
      <c r="RZG33" s="672"/>
      <c r="RZH33" s="672"/>
      <c r="RZI33" s="672"/>
      <c r="RZJ33" s="672"/>
      <c r="RZK33" s="672"/>
      <c r="RZL33" s="672"/>
      <c r="RZM33" s="672"/>
      <c r="RZN33" s="672"/>
      <c r="RZO33" s="672"/>
      <c r="RZP33" s="672"/>
      <c r="RZQ33" s="672"/>
      <c r="RZR33" s="672"/>
      <c r="RZS33" s="672"/>
      <c r="RZT33" s="672"/>
      <c r="RZU33" s="672"/>
      <c r="RZV33" s="672"/>
      <c r="RZW33" s="672"/>
      <c r="RZX33" s="672"/>
      <c r="RZY33" s="672"/>
      <c r="RZZ33" s="672"/>
      <c r="SAA33" s="672"/>
      <c r="SAB33" s="672"/>
      <c r="SAC33" s="672"/>
      <c r="SAD33" s="672"/>
      <c r="SAE33" s="672"/>
      <c r="SAF33" s="672"/>
      <c r="SAG33" s="672"/>
      <c r="SAH33" s="672"/>
      <c r="SAI33" s="672"/>
      <c r="SAJ33" s="672"/>
      <c r="SAK33" s="672"/>
      <c r="SAL33" s="672"/>
      <c r="SAM33" s="672"/>
      <c r="SAN33" s="672"/>
      <c r="SAO33" s="672"/>
      <c r="SAP33" s="672"/>
      <c r="SAQ33" s="672"/>
      <c r="SAR33" s="672"/>
      <c r="SAS33" s="672"/>
      <c r="SAT33" s="672"/>
      <c r="SAU33" s="672"/>
      <c r="SAV33" s="672"/>
      <c r="SAW33" s="672"/>
      <c r="SAX33" s="672"/>
      <c r="SAY33" s="672"/>
      <c r="SAZ33" s="672"/>
      <c r="SBA33" s="672"/>
      <c r="SBB33" s="672"/>
      <c r="SBC33" s="672"/>
      <c r="SBD33" s="672"/>
      <c r="SBE33" s="672"/>
      <c r="SBF33" s="672"/>
      <c r="SBG33" s="672"/>
      <c r="SBH33" s="672"/>
      <c r="SBI33" s="672"/>
      <c r="SBJ33" s="672"/>
      <c r="SBK33" s="672"/>
      <c r="SBL33" s="672"/>
      <c r="SBM33" s="672"/>
      <c r="SBN33" s="672"/>
      <c r="SBO33" s="672"/>
      <c r="SBP33" s="672"/>
      <c r="SBQ33" s="672"/>
      <c r="SBR33" s="672"/>
      <c r="SBS33" s="672"/>
      <c r="SBT33" s="672"/>
      <c r="SBU33" s="672"/>
      <c r="SBV33" s="672"/>
      <c r="SBW33" s="672"/>
      <c r="SBX33" s="672"/>
      <c r="SBY33" s="672"/>
      <c r="SBZ33" s="672"/>
      <c r="SCA33" s="672"/>
      <c r="SCB33" s="672"/>
      <c r="SCC33" s="672"/>
      <c r="SCD33" s="672"/>
      <c r="SCE33" s="672"/>
      <c r="SCF33" s="672"/>
      <c r="SCG33" s="672"/>
      <c r="SCH33" s="672"/>
      <c r="SCI33" s="672"/>
      <c r="SCJ33" s="672"/>
      <c r="SCK33" s="672"/>
      <c r="SCL33" s="672"/>
      <c r="SCM33" s="672"/>
      <c r="SCN33" s="672"/>
      <c r="SCO33" s="672"/>
      <c r="SCP33" s="672"/>
      <c r="SCQ33" s="672"/>
      <c r="SCR33" s="672"/>
      <c r="SCS33" s="672"/>
      <c r="SCT33" s="672"/>
      <c r="SCU33" s="672"/>
      <c r="SCV33" s="672"/>
      <c r="SCW33" s="672"/>
      <c r="SCX33" s="672"/>
      <c r="SCY33" s="672"/>
      <c r="SCZ33" s="672"/>
      <c r="SDA33" s="672"/>
      <c r="SDB33" s="672"/>
      <c r="SDC33" s="672"/>
      <c r="SDD33" s="672"/>
      <c r="SDE33" s="672"/>
      <c r="SDF33" s="672"/>
      <c r="SDG33" s="672"/>
      <c r="SDH33" s="672"/>
      <c r="SDI33" s="672"/>
      <c r="SDJ33" s="672"/>
      <c r="SDK33" s="672"/>
      <c r="SDL33" s="672"/>
      <c r="SDM33" s="672"/>
      <c r="SDN33" s="672"/>
      <c r="SDO33" s="672"/>
      <c r="SDP33" s="672"/>
      <c r="SDQ33" s="672"/>
      <c r="SDR33" s="672"/>
      <c r="SDS33" s="672"/>
      <c r="SDT33" s="672"/>
      <c r="SDU33" s="672"/>
      <c r="SDV33" s="672"/>
      <c r="SDW33" s="672"/>
      <c r="SDX33" s="672"/>
      <c r="SDY33" s="672"/>
      <c r="SDZ33" s="672"/>
      <c r="SEA33" s="672"/>
      <c r="SEB33" s="672"/>
      <c r="SEC33" s="672"/>
      <c r="SED33" s="672"/>
      <c r="SEE33" s="672"/>
      <c r="SEF33" s="672"/>
      <c r="SEG33" s="672"/>
      <c r="SEH33" s="672"/>
      <c r="SEI33" s="672"/>
      <c r="SEJ33" s="672"/>
      <c r="SEK33" s="672"/>
      <c r="SEL33" s="672"/>
      <c r="SEM33" s="672"/>
      <c r="SEN33" s="672"/>
      <c r="SEO33" s="672"/>
      <c r="SEP33" s="672"/>
      <c r="SEQ33" s="672"/>
      <c r="SER33" s="672"/>
      <c r="SES33" s="672"/>
      <c r="SET33" s="672"/>
      <c r="SEU33" s="672"/>
      <c r="SEV33" s="672"/>
      <c r="SEW33" s="672"/>
      <c r="SEX33" s="672"/>
      <c r="SEY33" s="672"/>
      <c r="SEZ33" s="672"/>
      <c r="SFA33" s="672"/>
      <c r="SFB33" s="672"/>
      <c r="SFC33" s="672"/>
      <c r="SFD33" s="672"/>
      <c r="SFE33" s="672"/>
      <c r="SFF33" s="672"/>
      <c r="SFG33" s="672"/>
      <c r="SFH33" s="672"/>
      <c r="SFI33" s="672"/>
      <c r="SFJ33" s="672"/>
      <c r="SFK33" s="672"/>
      <c r="SFL33" s="672"/>
      <c r="SFM33" s="672"/>
      <c r="SFN33" s="672"/>
      <c r="SFO33" s="672"/>
      <c r="SFP33" s="672"/>
      <c r="SFQ33" s="672"/>
      <c r="SFR33" s="672"/>
      <c r="SFS33" s="672"/>
      <c r="SFT33" s="672"/>
      <c r="SFU33" s="672"/>
      <c r="SFV33" s="672"/>
      <c r="SFW33" s="672"/>
      <c r="SFX33" s="672"/>
      <c r="SFY33" s="672"/>
      <c r="SFZ33" s="672"/>
      <c r="SGA33" s="672"/>
      <c r="SGB33" s="672"/>
      <c r="SGC33" s="672"/>
      <c r="SGD33" s="672"/>
      <c r="SGE33" s="672"/>
      <c r="SGF33" s="672"/>
      <c r="SGG33" s="672"/>
      <c r="SGH33" s="672"/>
      <c r="SGI33" s="672"/>
      <c r="SGJ33" s="672"/>
      <c r="SGK33" s="672"/>
      <c r="SGL33" s="672"/>
      <c r="SGM33" s="672"/>
      <c r="SGN33" s="672"/>
      <c r="SGO33" s="672"/>
      <c r="SGP33" s="672"/>
      <c r="SGQ33" s="672"/>
      <c r="SGR33" s="672"/>
      <c r="SGS33" s="672"/>
      <c r="SGT33" s="672"/>
      <c r="SGU33" s="672"/>
      <c r="SGV33" s="672"/>
      <c r="SGW33" s="672"/>
      <c r="SGX33" s="672"/>
      <c r="SGY33" s="672"/>
      <c r="SGZ33" s="672"/>
      <c r="SHA33" s="672"/>
      <c r="SHB33" s="672"/>
      <c r="SHC33" s="672"/>
      <c r="SHD33" s="672"/>
      <c r="SHE33" s="672"/>
      <c r="SHF33" s="672"/>
      <c r="SHG33" s="672"/>
      <c r="SHH33" s="672"/>
      <c r="SHI33" s="672"/>
      <c r="SHJ33" s="672"/>
      <c r="SHK33" s="672"/>
      <c r="SHL33" s="672"/>
      <c r="SHM33" s="672"/>
      <c r="SHN33" s="672"/>
      <c r="SHO33" s="672"/>
      <c r="SHP33" s="672"/>
      <c r="SHQ33" s="672"/>
      <c r="SHR33" s="672"/>
      <c r="SHS33" s="672"/>
      <c r="SHT33" s="672"/>
      <c r="SHU33" s="672"/>
      <c r="SHV33" s="672"/>
      <c r="SHW33" s="672"/>
      <c r="SHX33" s="672"/>
      <c r="SHY33" s="672"/>
      <c r="SHZ33" s="672"/>
      <c r="SIA33" s="672"/>
      <c r="SIB33" s="672"/>
      <c r="SIC33" s="672"/>
      <c r="SID33" s="672"/>
      <c r="SIE33" s="672"/>
      <c r="SIF33" s="672"/>
      <c r="SIG33" s="672"/>
      <c r="SIH33" s="672"/>
      <c r="SII33" s="672"/>
      <c r="SIJ33" s="672"/>
      <c r="SIK33" s="672"/>
      <c r="SIL33" s="672"/>
      <c r="SIM33" s="672"/>
      <c r="SIN33" s="672"/>
      <c r="SIO33" s="672"/>
      <c r="SIP33" s="672"/>
      <c r="SIQ33" s="672"/>
      <c r="SIR33" s="672"/>
      <c r="SIS33" s="672"/>
      <c r="SIT33" s="672"/>
      <c r="SIU33" s="672"/>
      <c r="SIV33" s="672"/>
      <c r="SIW33" s="672"/>
      <c r="SIX33" s="672"/>
      <c r="SIY33" s="672"/>
      <c r="SIZ33" s="672"/>
      <c r="SJA33" s="672"/>
      <c r="SJB33" s="672"/>
      <c r="SJC33" s="672"/>
      <c r="SJD33" s="672"/>
      <c r="SJE33" s="672"/>
      <c r="SJF33" s="672"/>
      <c r="SJG33" s="672"/>
      <c r="SJH33" s="672"/>
      <c r="SJI33" s="672"/>
      <c r="SJJ33" s="672"/>
      <c r="SJK33" s="672"/>
      <c r="SJL33" s="672"/>
      <c r="SJM33" s="672"/>
      <c r="SJN33" s="672"/>
      <c r="SJO33" s="672"/>
      <c r="SJP33" s="672"/>
      <c r="SJQ33" s="672"/>
      <c r="SJR33" s="672"/>
      <c r="SJS33" s="672"/>
      <c r="SJT33" s="672"/>
      <c r="SJU33" s="672"/>
      <c r="SJV33" s="672"/>
      <c r="SJW33" s="672"/>
      <c r="SJX33" s="672"/>
      <c r="SJY33" s="672"/>
      <c r="SJZ33" s="672"/>
      <c r="SKA33" s="672"/>
      <c r="SKB33" s="672"/>
      <c r="SKC33" s="672"/>
      <c r="SKD33" s="672"/>
      <c r="SKE33" s="672"/>
      <c r="SKF33" s="672"/>
      <c r="SKG33" s="672"/>
      <c r="SKH33" s="672"/>
      <c r="SKI33" s="672"/>
      <c r="SKJ33" s="672"/>
      <c r="SKK33" s="672"/>
      <c r="SKL33" s="672"/>
      <c r="SKM33" s="672"/>
      <c r="SKN33" s="672"/>
      <c r="SKO33" s="672"/>
      <c r="SKP33" s="672"/>
      <c r="SKQ33" s="672"/>
      <c r="SKR33" s="672"/>
      <c r="SKS33" s="672"/>
      <c r="SKT33" s="672"/>
      <c r="SKU33" s="672"/>
      <c r="SKV33" s="672"/>
      <c r="SKW33" s="672"/>
      <c r="SKX33" s="672"/>
      <c r="SKY33" s="672"/>
      <c r="SKZ33" s="672"/>
      <c r="SLA33" s="672"/>
      <c r="SLB33" s="672"/>
      <c r="SLC33" s="672"/>
      <c r="SLD33" s="672"/>
      <c r="SLE33" s="672"/>
      <c r="SLF33" s="672"/>
      <c r="SLG33" s="672"/>
      <c r="SLH33" s="672"/>
      <c r="SLI33" s="672"/>
      <c r="SLJ33" s="672"/>
      <c r="SLK33" s="672"/>
      <c r="SLL33" s="672"/>
      <c r="SLM33" s="672"/>
      <c r="SLN33" s="672"/>
      <c r="SLO33" s="672"/>
      <c r="SLP33" s="672"/>
      <c r="SLQ33" s="672"/>
      <c r="SLR33" s="672"/>
      <c r="SLS33" s="672"/>
      <c r="SLT33" s="672"/>
      <c r="SLU33" s="672"/>
      <c r="SLV33" s="672"/>
      <c r="SLW33" s="672"/>
      <c r="SLX33" s="672"/>
      <c r="SLY33" s="672"/>
      <c r="SLZ33" s="672"/>
      <c r="SMA33" s="672"/>
      <c r="SMB33" s="672"/>
      <c r="SMC33" s="672"/>
      <c r="SMD33" s="672"/>
      <c r="SME33" s="672"/>
      <c r="SMF33" s="672"/>
      <c r="SMG33" s="672"/>
      <c r="SMH33" s="672"/>
      <c r="SMI33" s="672"/>
      <c r="SMJ33" s="672"/>
      <c r="SMK33" s="672"/>
      <c r="SML33" s="672"/>
      <c r="SMM33" s="672"/>
      <c r="SMN33" s="672"/>
      <c r="SMO33" s="672"/>
      <c r="SMP33" s="672"/>
      <c r="SMQ33" s="672"/>
      <c r="SMR33" s="672"/>
      <c r="SMS33" s="672"/>
      <c r="SMT33" s="672"/>
      <c r="SMU33" s="672"/>
      <c r="SMV33" s="672"/>
      <c r="SMW33" s="672"/>
      <c r="SMX33" s="672"/>
      <c r="SMY33" s="672"/>
      <c r="SMZ33" s="672"/>
      <c r="SNA33" s="672"/>
      <c r="SNB33" s="672"/>
      <c r="SNC33" s="672"/>
      <c r="SND33" s="672"/>
      <c r="SNE33" s="672"/>
      <c r="SNF33" s="672"/>
      <c r="SNG33" s="672"/>
      <c r="SNH33" s="672"/>
      <c r="SNI33" s="672"/>
      <c r="SNJ33" s="672"/>
      <c r="SNK33" s="672"/>
      <c r="SNL33" s="672"/>
      <c r="SNM33" s="672"/>
      <c r="SNN33" s="672"/>
      <c r="SNO33" s="672"/>
      <c r="SNP33" s="672"/>
      <c r="SNQ33" s="672"/>
      <c r="SNR33" s="672"/>
      <c r="SNS33" s="672"/>
      <c r="SNT33" s="672"/>
      <c r="SNU33" s="672"/>
      <c r="SNV33" s="672"/>
      <c r="SNW33" s="672"/>
      <c r="SNX33" s="672"/>
      <c r="SNY33" s="672"/>
      <c r="SNZ33" s="672"/>
      <c r="SOA33" s="672"/>
      <c r="SOB33" s="672"/>
      <c r="SOC33" s="672"/>
      <c r="SOD33" s="672"/>
      <c r="SOE33" s="672"/>
      <c r="SOF33" s="672"/>
      <c r="SOG33" s="672"/>
      <c r="SOH33" s="672"/>
      <c r="SOI33" s="672"/>
      <c r="SOJ33" s="672"/>
      <c r="SOK33" s="672"/>
      <c r="SOL33" s="672"/>
      <c r="SOM33" s="672"/>
      <c r="SON33" s="672"/>
      <c r="SOO33" s="672"/>
      <c r="SOP33" s="672"/>
      <c r="SOQ33" s="672"/>
      <c r="SOR33" s="672"/>
      <c r="SOS33" s="672"/>
      <c r="SOT33" s="672"/>
      <c r="SOU33" s="672"/>
      <c r="SOV33" s="672"/>
      <c r="SOW33" s="672"/>
      <c r="SOX33" s="672"/>
      <c r="SOY33" s="672"/>
      <c r="SOZ33" s="672"/>
      <c r="SPA33" s="672"/>
      <c r="SPB33" s="672"/>
      <c r="SPC33" s="672"/>
      <c r="SPD33" s="672"/>
      <c r="SPE33" s="672"/>
      <c r="SPF33" s="672"/>
      <c r="SPG33" s="672"/>
      <c r="SPH33" s="672"/>
      <c r="SPI33" s="672"/>
      <c r="SPJ33" s="672"/>
      <c r="SPK33" s="672"/>
      <c r="SPL33" s="672"/>
      <c r="SPM33" s="672"/>
      <c r="SPN33" s="672"/>
      <c r="SPO33" s="672"/>
      <c r="SPP33" s="672"/>
      <c r="SPQ33" s="672"/>
      <c r="SPR33" s="672"/>
      <c r="SPS33" s="672"/>
      <c r="SPT33" s="672"/>
      <c r="SPU33" s="672"/>
      <c r="SPV33" s="672"/>
      <c r="SPW33" s="672"/>
      <c r="SPX33" s="672"/>
      <c r="SPY33" s="672"/>
      <c r="SPZ33" s="672"/>
      <c r="SQA33" s="672"/>
      <c r="SQB33" s="672"/>
      <c r="SQC33" s="672"/>
      <c r="SQD33" s="672"/>
      <c r="SQE33" s="672"/>
      <c r="SQF33" s="672"/>
      <c r="SQG33" s="672"/>
      <c r="SQH33" s="672"/>
      <c r="SQI33" s="672"/>
      <c r="SQJ33" s="672"/>
      <c r="SQK33" s="672"/>
      <c r="SQL33" s="672"/>
      <c r="SQM33" s="672"/>
      <c r="SQN33" s="672"/>
      <c r="SQO33" s="672"/>
      <c r="SQP33" s="672"/>
      <c r="SQQ33" s="672"/>
      <c r="SQR33" s="672"/>
      <c r="SQS33" s="672"/>
      <c r="SQT33" s="672"/>
      <c r="SQU33" s="672"/>
      <c r="SQV33" s="672"/>
      <c r="SQW33" s="672"/>
      <c r="SQX33" s="672"/>
      <c r="SQY33" s="672"/>
      <c r="SQZ33" s="672"/>
      <c r="SRA33" s="672"/>
      <c r="SRB33" s="672"/>
      <c r="SRC33" s="672"/>
      <c r="SRD33" s="672"/>
      <c r="SRE33" s="672"/>
      <c r="SRF33" s="672"/>
      <c r="SRG33" s="672"/>
      <c r="SRH33" s="672"/>
      <c r="SRI33" s="672"/>
      <c r="SRJ33" s="672"/>
      <c r="SRK33" s="672"/>
      <c r="SRL33" s="672"/>
      <c r="SRM33" s="672"/>
      <c r="SRN33" s="672"/>
      <c r="SRO33" s="672"/>
      <c r="SRP33" s="672"/>
      <c r="SRQ33" s="672"/>
      <c r="SRR33" s="672"/>
      <c r="SRS33" s="672"/>
      <c r="SRT33" s="672"/>
      <c r="SRU33" s="672"/>
      <c r="SRV33" s="672"/>
      <c r="SRW33" s="672"/>
      <c r="SRX33" s="672"/>
      <c r="SRY33" s="672"/>
      <c r="SRZ33" s="672"/>
      <c r="SSA33" s="672"/>
      <c r="SSB33" s="672"/>
      <c r="SSC33" s="672"/>
      <c r="SSD33" s="672"/>
      <c r="SSE33" s="672"/>
      <c r="SSF33" s="672"/>
      <c r="SSG33" s="672"/>
      <c r="SSH33" s="672"/>
      <c r="SSI33" s="672"/>
      <c r="SSJ33" s="672"/>
      <c r="SSK33" s="672"/>
      <c r="SSL33" s="672"/>
      <c r="SSM33" s="672"/>
      <c r="SSN33" s="672"/>
      <c r="SSO33" s="672"/>
      <c r="SSP33" s="672"/>
      <c r="SSQ33" s="672"/>
      <c r="SSR33" s="672"/>
      <c r="SSS33" s="672"/>
      <c r="SST33" s="672"/>
      <c r="SSU33" s="672"/>
      <c r="SSV33" s="672"/>
      <c r="SSW33" s="672"/>
      <c r="SSX33" s="672"/>
      <c r="SSY33" s="672"/>
      <c r="SSZ33" s="672"/>
      <c r="STA33" s="672"/>
      <c r="STB33" s="672"/>
      <c r="STC33" s="672"/>
      <c r="STD33" s="672"/>
      <c r="STE33" s="672"/>
      <c r="STF33" s="672"/>
      <c r="STG33" s="672"/>
      <c r="STH33" s="672"/>
      <c r="STI33" s="672"/>
      <c r="STJ33" s="672"/>
      <c r="STK33" s="672"/>
      <c r="STL33" s="672"/>
      <c r="STM33" s="672"/>
      <c r="STN33" s="672"/>
      <c r="STO33" s="672"/>
      <c r="STP33" s="672"/>
      <c r="STQ33" s="672"/>
      <c r="STR33" s="672"/>
      <c r="STS33" s="672"/>
      <c r="STT33" s="672"/>
      <c r="STU33" s="672"/>
      <c r="STV33" s="672"/>
      <c r="STW33" s="672"/>
      <c r="STX33" s="672"/>
      <c r="STY33" s="672"/>
      <c r="STZ33" s="672"/>
      <c r="SUA33" s="672"/>
      <c r="SUB33" s="672"/>
      <c r="SUC33" s="672"/>
      <c r="SUD33" s="672"/>
      <c r="SUE33" s="672"/>
      <c r="SUF33" s="672"/>
      <c r="SUG33" s="672"/>
      <c r="SUH33" s="672"/>
      <c r="SUI33" s="672"/>
      <c r="SUJ33" s="672"/>
      <c r="SUK33" s="672"/>
      <c r="SUL33" s="672"/>
      <c r="SUM33" s="672"/>
      <c r="SUN33" s="672"/>
      <c r="SUO33" s="672"/>
      <c r="SUP33" s="672"/>
      <c r="SUQ33" s="672"/>
      <c r="SUR33" s="672"/>
      <c r="SUS33" s="672"/>
      <c r="SUT33" s="672"/>
      <c r="SUU33" s="672"/>
      <c r="SUV33" s="672"/>
      <c r="SUW33" s="672"/>
      <c r="SUX33" s="672"/>
      <c r="SUY33" s="672"/>
      <c r="SUZ33" s="672"/>
      <c r="SVA33" s="672"/>
      <c r="SVB33" s="672"/>
      <c r="SVC33" s="672"/>
      <c r="SVD33" s="672"/>
      <c r="SVE33" s="672"/>
      <c r="SVF33" s="672"/>
      <c r="SVG33" s="672"/>
      <c r="SVH33" s="672"/>
      <c r="SVI33" s="672"/>
      <c r="SVJ33" s="672"/>
      <c r="SVK33" s="672"/>
      <c r="SVL33" s="672"/>
      <c r="SVM33" s="672"/>
      <c r="SVN33" s="672"/>
      <c r="SVO33" s="672"/>
      <c r="SVP33" s="672"/>
      <c r="SVQ33" s="672"/>
      <c r="SVR33" s="672"/>
      <c r="SVS33" s="672"/>
      <c r="SVT33" s="672"/>
      <c r="SVU33" s="672"/>
      <c r="SVV33" s="672"/>
      <c r="SVW33" s="672"/>
      <c r="SVX33" s="672"/>
      <c r="SVY33" s="672"/>
      <c r="SVZ33" s="672"/>
      <c r="SWA33" s="672"/>
      <c r="SWB33" s="672"/>
      <c r="SWC33" s="672"/>
      <c r="SWD33" s="672"/>
      <c r="SWE33" s="672"/>
      <c r="SWF33" s="672"/>
      <c r="SWG33" s="672"/>
      <c r="SWH33" s="672"/>
      <c r="SWI33" s="672"/>
      <c r="SWJ33" s="672"/>
      <c r="SWK33" s="672"/>
      <c r="SWL33" s="672"/>
      <c r="SWM33" s="672"/>
      <c r="SWN33" s="672"/>
      <c r="SWO33" s="672"/>
      <c r="SWP33" s="672"/>
      <c r="SWQ33" s="672"/>
      <c r="SWR33" s="672"/>
      <c r="SWS33" s="672"/>
      <c r="SWT33" s="672"/>
      <c r="SWU33" s="672"/>
      <c r="SWV33" s="672"/>
      <c r="SWW33" s="672"/>
      <c r="SWX33" s="672"/>
      <c r="SWY33" s="672"/>
      <c r="SWZ33" s="672"/>
      <c r="SXA33" s="672"/>
      <c r="SXB33" s="672"/>
      <c r="SXC33" s="672"/>
      <c r="SXD33" s="672"/>
      <c r="SXE33" s="672"/>
      <c r="SXF33" s="672"/>
      <c r="SXG33" s="672"/>
      <c r="SXH33" s="672"/>
      <c r="SXI33" s="672"/>
      <c r="SXJ33" s="672"/>
      <c r="SXK33" s="672"/>
      <c r="SXL33" s="672"/>
      <c r="SXM33" s="672"/>
      <c r="SXN33" s="672"/>
      <c r="SXO33" s="672"/>
      <c r="SXP33" s="672"/>
      <c r="SXQ33" s="672"/>
      <c r="SXR33" s="672"/>
      <c r="SXS33" s="672"/>
      <c r="SXT33" s="672"/>
      <c r="SXU33" s="672"/>
      <c r="SXV33" s="672"/>
      <c r="SXW33" s="672"/>
      <c r="SXX33" s="672"/>
      <c r="SXY33" s="672"/>
      <c r="SXZ33" s="672"/>
      <c r="SYA33" s="672"/>
      <c r="SYB33" s="672"/>
      <c r="SYC33" s="672"/>
      <c r="SYD33" s="672"/>
      <c r="SYE33" s="672"/>
      <c r="SYF33" s="672"/>
      <c r="SYG33" s="672"/>
      <c r="SYH33" s="672"/>
      <c r="SYI33" s="672"/>
      <c r="SYJ33" s="672"/>
      <c r="SYK33" s="672"/>
      <c r="SYL33" s="672"/>
      <c r="SYM33" s="672"/>
      <c r="SYN33" s="672"/>
      <c r="SYO33" s="672"/>
      <c r="SYP33" s="672"/>
      <c r="SYQ33" s="672"/>
      <c r="SYR33" s="672"/>
      <c r="SYS33" s="672"/>
      <c r="SYT33" s="672"/>
      <c r="SYU33" s="672"/>
      <c r="SYV33" s="672"/>
      <c r="SYW33" s="672"/>
      <c r="SYX33" s="672"/>
      <c r="SYY33" s="672"/>
      <c r="SYZ33" s="672"/>
      <c r="SZA33" s="672"/>
      <c r="SZB33" s="672"/>
      <c r="SZC33" s="672"/>
      <c r="SZD33" s="672"/>
      <c r="SZE33" s="672"/>
      <c r="SZF33" s="672"/>
      <c r="SZG33" s="672"/>
      <c r="SZH33" s="672"/>
      <c r="SZI33" s="672"/>
      <c r="SZJ33" s="672"/>
      <c r="SZK33" s="672"/>
      <c r="SZL33" s="672"/>
      <c r="SZM33" s="672"/>
      <c r="SZN33" s="672"/>
      <c r="SZO33" s="672"/>
      <c r="SZP33" s="672"/>
      <c r="SZQ33" s="672"/>
      <c r="SZR33" s="672"/>
      <c r="SZS33" s="672"/>
      <c r="SZT33" s="672"/>
      <c r="SZU33" s="672"/>
      <c r="SZV33" s="672"/>
      <c r="SZW33" s="672"/>
      <c r="SZX33" s="672"/>
      <c r="SZY33" s="672"/>
      <c r="SZZ33" s="672"/>
      <c r="TAA33" s="672"/>
      <c r="TAB33" s="672"/>
      <c r="TAC33" s="672"/>
      <c r="TAD33" s="672"/>
      <c r="TAE33" s="672"/>
      <c r="TAF33" s="672"/>
      <c r="TAG33" s="672"/>
      <c r="TAH33" s="672"/>
      <c r="TAI33" s="672"/>
      <c r="TAJ33" s="672"/>
      <c r="TAK33" s="672"/>
      <c r="TAL33" s="672"/>
      <c r="TAM33" s="672"/>
      <c r="TAN33" s="672"/>
      <c r="TAO33" s="672"/>
      <c r="TAP33" s="672"/>
      <c r="TAQ33" s="672"/>
      <c r="TAR33" s="672"/>
      <c r="TAS33" s="672"/>
      <c r="TAT33" s="672"/>
      <c r="TAU33" s="672"/>
      <c r="TAV33" s="672"/>
      <c r="TAW33" s="672"/>
      <c r="TAX33" s="672"/>
      <c r="TAY33" s="672"/>
      <c r="TAZ33" s="672"/>
      <c r="TBA33" s="672"/>
      <c r="TBB33" s="672"/>
      <c r="TBC33" s="672"/>
      <c r="TBD33" s="672"/>
      <c r="TBE33" s="672"/>
      <c r="TBF33" s="672"/>
      <c r="TBG33" s="672"/>
      <c r="TBH33" s="672"/>
      <c r="TBI33" s="672"/>
      <c r="TBJ33" s="672"/>
      <c r="TBK33" s="672"/>
      <c r="TBL33" s="672"/>
      <c r="TBM33" s="672"/>
      <c r="TBN33" s="672"/>
      <c r="TBO33" s="672"/>
      <c r="TBP33" s="672"/>
      <c r="TBQ33" s="672"/>
      <c r="TBR33" s="672"/>
      <c r="TBS33" s="672"/>
      <c r="TBT33" s="672"/>
      <c r="TBU33" s="672"/>
      <c r="TBV33" s="672"/>
      <c r="TBW33" s="672"/>
      <c r="TBX33" s="672"/>
      <c r="TBY33" s="672"/>
      <c r="TBZ33" s="672"/>
      <c r="TCA33" s="672"/>
      <c r="TCB33" s="672"/>
      <c r="TCC33" s="672"/>
      <c r="TCD33" s="672"/>
      <c r="TCE33" s="672"/>
      <c r="TCF33" s="672"/>
      <c r="TCG33" s="672"/>
      <c r="TCH33" s="672"/>
      <c r="TCI33" s="672"/>
      <c r="TCJ33" s="672"/>
      <c r="TCK33" s="672"/>
      <c r="TCL33" s="672"/>
      <c r="TCM33" s="672"/>
      <c r="TCN33" s="672"/>
      <c r="TCO33" s="672"/>
      <c r="TCP33" s="672"/>
      <c r="TCQ33" s="672"/>
      <c r="TCR33" s="672"/>
      <c r="TCS33" s="672"/>
      <c r="TCT33" s="672"/>
      <c r="TCU33" s="672"/>
      <c r="TCV33" s="672"/>
      <c r="TCW33" s="672"/>
      <c r="TCX33" s="672"/>
      <c r="TCY33" s="672"/>
      <c r="TCZ33" s="672"/>
      <c r="TDA33" s="672"/>
      <c r="TDB33" s="672"/>
      <c r="TDC33" s="672"/>
      <c r="TDD33" s="672"/>
      <c r="TDE33" s="672"/>
      <c r="TDF33" s="672"/>
      <c r="TDG33" s="672"/>
      <c r="TDH33" s="672"/>
      <c r="TDI33" s="672"/>
      <c r="TDJ33" s="672"/>
      <c r="TDK33" s="672"/>
      <c r="TDL33" s="672"/>
      <c r="TDM33" s="672"/>
      <c r="TDN33" s="672"/>
      <c r="TDO33" s="672"/>
      <c r="TDP33" s="672"/>
      <c r="TDQ33" s="672"/>
      <c r="TDR33" s="672"/>
      <c r="TDS33" s="672"/>
      <c r="TDT33" s="672"/>
      <c r="TDU33" s="672"/>
      <c r="TDV33" s="672"/>
      <c r="TDW33" s="672"/>
      <c r="TDX33" s="672"/>
      <c r="TDY33" s="672"/>
      <c r="TDZ33" s="672"/>
      <c r="TEA33" s="672"/>
      <c r="TEB33" s="672"/>
      <c r="TEC33" s="672"/>
      <c r="TED33" s="672"/>
      <c r="TEE33" s="672"/>
      <c r="TEF33" s="672"/>
      <c r="TEG33" s="672"/>
      <c r="TEH33" s="672"/>
      <c r="TEI33" s="672"/>
      <c r="TEJ33" s="672"/>
      <c r="TEK33" s="672"/>
      <c r="TEL33" s="672"/>
      <c r="TEM33" s="672"/>
      <c r="TEN33" s="672"/>
      <c r="TEO33" s="672"/>
      <c r="TEP33" s="672"/>
      <c r="TEQ33" s="672"/>
      <c r="TER33" s="672"/>
      <c r="TES33" s="672"/>
      <c r="TET33" s="672"/>
      <c r="TEU33" s="672"/>
      <c r="TEV33" s="672"/>
      <c r="TEW33" s="672"/>
      <c r="TEX33" s="672"/>
      <c r="TEY33" s="672"/>
      <c r="TEZ33" s="672"/>
      <c r="TFA33" s="672"/>
      <c r="TFB33" s="672"/>
      <c r="TFC33" s="672"/>
      <c r="TFD33" s="672"/>
      <c r="TFE33" s="672"/>
      <c r="TFF33" s="672"/>
      <c r="TFG33" s="672"/>
      <c r="TFH33" s="672"/>
      <c r="TFI33" s="672"/>
      <c r="TFJ33" s="672"/>
      <c r="TFK33" s="672"/>
      <c r="TFL33" s="672"/>
      <c r="TFM33" s="672"/>
      <c r="TFN33" s="672"/>
      <c r="TFO33" s="672"/>
      <c r="TFP33" s="672"/>
      <c r="TFQ33" s="672"/>
      <c r="TFR33" s="672"/>
      <c r="TFS33" s="672"/>
      <c r="TFT33" s="672"/>
      <c r="TFU33" s="672"/>
      <c r="TFV33" s="672"/>
      <c r="TFW33" s="672"/>
      <c r="TFX33" s="672"/>
      <c r="TFY33" s="672"/>
      <c r="TFZ33" s="672"/>
      <c r="TGA33" s="672"/>
      <c r="TGB33" s="672"/>
      <c r="TGC33" s="672"/>
      <c r="TGD33" s="672"/>
      <c r="TGE33" s="672"/>
      <c r="TGF33" s="672"/>
      <c r="TGG33" s="672"/>
      <c r="TGH33" s="672"/>
      <c r="TGI33" s="672"/>
      <c r="TGJ33" s="672"/>
      <c r="TGK33" s="672"/>
      <c r="TGL33" s="672"/>
      <c r="TGM33" s="672"/>
      <c r="TGN33" s="672"/>
      <c r="TGO33" s="672"/>
      <c r="TGP33" s="672"/>
      <c r="TGQ33" s="672"/>
      <c r="TGR33" s="672"/>
      <c r="TGS33" s="672"/>
      <c r="TGT33" s="672"/>
      <c r="TGU33" s="672"/>
      <c r="TGV33" s="672"/>
      <c r="TGW33" s="672"/>
      <c r="TGX33" s="672"/>
      <c r="TGY33" s="672"/>
      <c r="TGZ33" s="672"/>
      <c r="THA33" s="672"/>
      <c r="THB33" s="672"/>
      <c r="THC33" s="672"/>
      <c r="THD33" s="672"/>
      <c r="THE33" s="672"/>
      <c r="THF33" s="672"/>
      <c r="THG33" s="672"/>
      <c r="THH33" s="672"/>
      <c r="THI33" s="672"/>
      <c r="THJ33" s="672"/>
      <c r="THK33" s="672"/>
      <c r="THL33" s="672"/>
      <c r="THM33" s="672"/>
      <c r="THN33" s="672"/>
      <c r="THO33" s="672"/>
      <c r="THP33" s="672"/>
      <c r="THQ33" s="672"/>
      <c r="THR33" s="672"/>
      <c r="THS33" s="672"/>
      <c r="THT33" s="672"/>
      <c r="THU33" s="672"/>
      <c r="THV33" s="672"/>
      <c r="THW33" s="672"/>
      <c r="THX33" s="672"/>
      <c r="THY33" s="672"/>
      <c r="THZ33" s="672"/>
      <c r="TIA33" s="672"/>
      <c r="TIB33" s="672"/>
      <c r="TIC33" s="672"/>
      <c r="TID33" s="672"/>
      <c r="TIE33" s="672"/>
      <c r="TIF33" s="672"/>
      <c r="TIG33" s="672"/>
      <c r="TIH33" s="672"/>
      <c r="TII33" s="672"/>
      <c r="TIJ33" s="672"/>
      <c r="TIK33" s="672"/>
      <c r="TIL33" s="672"/>
      <c r="TIM33" s="672"/>
      <c r="TIN33" s="672"/>
      <c r="TIO33" s="672"/>
      <c r="TIP33" s="672"/>
      <c r="TIQ33" s="672"/>
      <c r="TIR33" s="672"/>
      <c r="TIS33" s="672"/>
      <c r="TIT33" s="672"/>
      <c r="TIU33" s="672"/>
      <c r="TIV33" s="672"/>
      <c r="TIW33" s="672"/>
      <c r="TIX33" s="672"/>
      <c r="TIY33" s="672"/>
      <c r="TIZ33" s="672"/>
      <c r="TJA33" s="672"/>
      <c r="TJB33" s="672"/>
      <c r="TJC33" s="672"/>
      <c r="TJD33" s="672"/>
      <c r="TJE33" s="672"/>
      <c r="TJF33" s="672"/>
      <c r="TJG33" s="672"/>
      <c r="TJH33" s="672"/>
      <c r="TJI33" s="672"/>
      <c r="TJJ33" s="672"/>
      <c r="TJK33" s="672"/>
      <c r="TJL33" s="672"/>
      <c r="TJM33" s="672"/>
      <c r="TJN33" s="672"/>
      <c r="TJO33" s="672"/>
      <c r="TJP33" s="672"/>
      <c r="TJQ33" s="672"/>
      <c r="TJR33" s="672"/>
      <c r="TJS33" s="672"/>
      <c r="TJT33" s="672"/>
      <c r="TJU33" s="672"/>
      <c r="TJV33" s="672"/>
      <c r="TJW33" s="672"/>
      <c r="TJX33" s="672"/>
      <c r="TJY33" s="672"/>
      <c r="TJZ33" s="672"/>
      <c r="TKA33" s="672"/>
      <c r="TKB33" s="672"/>
      <c r="TKC33" s="672"/>
      <c r="TKD33" s="672"/>
      <c r="TKE33" s="672"/>
      <c r="TKF33" s="672"/>
      <c r="TKG33" s="672"/>
      <c r="TKH33" s="672"/>
      <c r="TKI33" s="672"/>
      <c r="TKJ33" s="672"/>
      <c r="TKK33" s="672"/>
      <c r="TKL33" s="672"/>
      <c r="TKM33" s="672"/>
      <c r="TKN33" s="672"/>
      <c r="TKO33" s="672"/>
      <c r="TKP33" s="672"/>
      <c r="TKQ33" s="672"/>
      <c r="TKR33" s="672"/>
      <c r="TKS33" s="672"/>
      <c r="TKT33" s="672"/>
      <c r="TKU33" s="672"/>
      <c r="TKV33" s="672"/>
      <c r="TKW33" s="672"/>
      <c r="TKX33" s="672"/>
      <c r="TKY33" s="672"/>
      <c r="TKZ33" s="672"/>
      <c r="TLA33" s="672"/>
      <c r="TLB33" s="672"/>
      <c r="TLC33" s="672"/>
      <c r="TLD33" s="672"/>
      <c r="TLE33" s="672"/>
      <c r="TLF33" s="672"/>
      <c r="TLG33" s="672"/>
      <c r="TLH33" s="672"/>
      <c r="TLI33" s="672"/>
      <c r="TLJ33" s="672"/>
      <c r="TLK33" s="672"/>
      <c r="TLL33" s="672"/>
      <c r="TLM33" s="672"/>
      <c r="TLN33" s="672"/>
      <c r="TLO33" s="672"/>
      <c r="TLP33" s="672"/>
      <c r="TLQ33" s="672"/>
      <c r="TLR33" s="672"/>
      <c r="TLS33" s="672"/>
      <c r="TLT33" s="672"/>
      <c r="TLU33" s="672"/>
      <c r="TLV33" s="672"/>
      <c r="TLW33" s="672"/>
      <c r="TLX33" s="672"/>
      <c r="TLY33" s="672"/>
      <c r="TLZ33" s="672"/>
      <c r="TMA33" s="672"/>
      <c r="TMB33" s="672"/>
      <c r="TMC33" s="672"/>
      <c r="TMD33" s="672"/>
      <c r="TME33" s="672"/>
      <c r="TMF33" s="672"/>
      <c r="TMG33" s="672"/>
      <c r="TMH33" s="672"/>
      <c r="TMI33" s="672"/>
      <c r="TMJ33" s="672"/>
      <c r="TMK33" s="672"/>
      <c r="TML33" s="672"/>
      <c r="TMM33" s="672"/>
      <c r="TMN33" s="672"/>
      <c r="TMO33" s="672"/>
      <c r="TMP33" s="672"/>
      <c r="TMQ33" s="672"/>
      <c r="TMR33" s="672"/>
      <c r="TMS33" s="672"/>
      <c r="TMT33" s="672"/>
      <c r="TMU33" s="672"/>
      <c r="TMV33" s="672"/>
      <c r="TMW33" s="672"/>
      <c r="TMX33" s="672"/>
      <c r="TMY33" s="672"/>
      <c r="TMZ33" s="672"/>
      <c r="TNA33" s="672"/>
      <c r="TNB33" s="672"/>
      <c r="TNC33" s="672"/>
      <c r="TND33" s="672"/>
      <c r="TNE33" s="672"/>
      <c r="TNF33" s="672"/>
      <c r="TNG33" s="672"/>
      <c r="TNH33" s="672"/>
      <c r="TNI33" s="672"/>
      <c r="TNJ33" s="672"/>
      <c r="TNK33" s="672"/>
      <c r="TNL33" s="672"/>
      <c r="TNM33" s="672"/>
      <c r="TNN33" s="672"/>
      <c r="TNO33" s="672"/>
      <c r="TNP33" s="672"/>
      <c r="TNQ33" s="672"/>
      <c r="TNR33" s="672"/>
      <c r="TNS33" s="672"/>
      <c r="TNT33" s="672"/>
      <c r="TNU33" s="672"/>
      <c r="TNV33" s="672"/>
      <c r="TNW33" s="672"/>
      <c r="TNX33" s="672"/>
      <c r="TNY33" s="672"/>
      <c r="TNZ33" s="672"/>
      <c r="TOA33" s="672"/>
      <c r="TOB33" s="672"/>
      <c r="TOC33" s="672"/>
      <c r="TOD33" s="672"/>
      <c r="TOE33" s="672"/>
      <c r="TOF33" s="672"/>
      <c r="TOG33" s="672"/>
      <c r="TOH33" s="672"/>
      <c r="TOI33" s="672"/>
      <c r="TOJ33" s="672"/>
      <c r="TOK33" s="672"/>
      <c r="TOL33" s="672"/>
      <c r="TOM33" s="672"/>
      <c r="TON33" s="672"/>
      <c r="TOO33" s="672"/>
      <c r="TOP33" s="672"/>
      <c r="TOQ33" s="672"/>
      <c r="TOR33" s="672"/>
      <c r="TOS33" s="672"/>
      <c r="TOT33" s="672"/>
      <c r="TOU33" s="672"/>
      <c r="TOV33" s="672"/>
      <c r="TOW33" s="672"/>
      <c r="TOX33" s="672"/>
      <c r="TOY33" s="672"/>
      <c r="TOZ33" s="672"/>
      <c r="TPA33" s="672"/>
      <c r="TPB33" s="672"/>
      <c r="TPC33" s="672"/>
      <c r="TPD33" s="672"/>
      <c r="TPE33" s="672"/>
      <c r="TPF33" s="672"/>
      <c r="TPG33" s="672"/>
      <c r="TPH33" s="672"/>
      <c r="TPI33" s="672"/>
      <c r="TPJ33" s="672"/>
      <c r="TPK33" s="672"/>
      <c r="TPL33" s="672"/>
      <c r="TPM33" s="672"/>
      <c r="TPN33" s="672"/>
      <c r="TPO33" s="672"/>
      <c r="TPP33" s="672"/>
      <c r="TPQ33" s="672"/>
      <c r="TPR33" s="672"/>
      <c r="TPS33" s="672"/>
      <c r="TPT33" s="672"/>
      <c r="TPU33" s="672"/>
      <c r="TPV33" s="672"/>
      <c r="TPW33" s="672"/>
      <c r="TPX33" s="672"/>
      <c r="TPY33" s="672"/>
      <c r="TPZ33" s="672"/>
      <c r="TQA33" s="672"/>
      <c r="TQB33" s="672"/>
      <c r="TQC33" s="672"/>
      <c r="TQD33" s="672"/>
      <c r="TQE33" s="672"/>
      <c r="TQF33" s="672"/>
      <c r="TQG33" s="672"/>
      <c r="TQH33" s="672"/>
      <c r="TQI33" s="672"/>
      <c r="TQJ33" s="672"/>
      <c r="TQK33" s="672"/>
      <c r="TQL33" s="672"/>
      <c r="TQM33" s="672"/>
      <c r="TQN33" s="672"/>
      <c r="TQO33" s="672"/>
      <c r="TQP33" s="672"/>
      <c r="TQQ33" s="672"/>
      <c r="TQR33" s="672"/>
      <c r="TQS33" s="672"/>
      <c r="TQT33" s="672"/>
      <c r="TQU33" s="672"/>
      <c r="TQV33" s="672"/>
      <c r="TQW33" s="672"/>
      <c r="TQX33" s="672"/>
      <c r="TQY33" s="672"/>
      <c r="TQZ33" s="672"/>
      <c r="TRA33" s="672"/>
      <c r="TRB33" s="672"/>
      <c r="TRC33" s="672"/>
      <c r="TRD33" s="672"/>
      <c r="TRE33" s="672"/>
      <c r="TRF33" s="672"/>
      <c r="TRG33" s="672"/>
      <c r="TRH33" s="672"/>
      <c r="TRI33" s="672"/>
      <c r="TRJ33" s="672"/>
      <c r="TRK33" s="672"/>
      <c r="TRL33" s="672"/>
      <c r="TRM33" s="672"/>
      <c r="TRN33" s="672"/>
      <c r="TRO33" s="672"/>
      <c r="TRP33" s="672"/>
      <c r="TRQ33" s="672"/>
      <c r="TRR33" s="672"/>
      <c r="TRS33" s="672"/>
      <c r="TRT33" s="672"/>
      <c r="TRU33" s="672"/>
      <c r="TRV33" s="672"/>
      <c r="TRW33" s="672"/>
      <c r="TRX33" s="672"/>
      <c r="TRY33" s="672"/>
      <c r="TRZ33" s="672"/>
      <c r="TSA33" s="672"/>
      <c r="TSB33" s="672"/>
      <c r="TSC33" s="672"/>
      <c r="TSD33" s="672"/>
      <c r="TSE33" s="672"/>
      <c r="TSF33" s="672"/>
      <c r="TSG33" s="672"/>
      <c r="TSH33" s="672"/>
      <c r="TSI33" s="672"/>
      <c r="TSJ33" s="672"/>
      <c r="TSK33" s="672"/>
      <c r="TSL33" s="672"/>
      <c r="TSM33" s="672"/>
      <c r="TSN33" s="672"/>
      <c r="TSO33" s="672"/>
      <c r="TSP33" s="672"/>
      <c r="TSQ33" s="672"/>
      <c r="TSR33" s="672"/>
      <c r="TSS33" s="672"/>
      <c r="TST33" s="672"/>
      <c r="TSU33" s="672"/>
      <c r="TSV33" s="672"/>
      <c r="TSW33" s="672"/>
      <c r="TSX33" s="672"/>
      <c r="TSY33" s="672"/>
      <c r="TSZ33" s="672"/>
      <c r="TTA33" s="672"/>
      <c r="TTB33" s="672"/>
      <c r="TTC33" s="672"/>
      <c r="TTD33" s="672"/>
      <c r="TTE33" s="672"/>
      <c r="TTF33" s="672"/>
      <c r="TTG33" s="672"/>
      <c r="TTH33" s="672"/>
      <c r="TTI33" s="672"/>
      <c r="TTJ33" s="672"/>
      <c r="TTK33" s="672"/>
      <c r="TTL33" s="672"/>
      <c r="TTM33" s="672"/>
      <c r="TTN33" s="672"/>
      <c r="TTO33" s="672"/>
      <c r="TTP33" s="672"/>
      <c r="TTQ33" s="672"/>
      <c r="TTR33" s="672"/>
      <c r="TTS33" s="672"/>
      <c r="TTT33" s="672"/>
      <c r="TTU33" s="672"/>
      <c r="TTV33" s="672"/>
      <c r="TTW33" s="672"/>
      <c r="TTX33" s="672"/>
      <c r="TTY33" s="672"/>
      <c r="TTZ33" s="672"/>
      <c r="TUA33" s="672"/>
      <c r="TUB33" s="672"/>
      <c r="TUC33" s="672"/>
      <c r="TUD33" s="672"/>
      <c r="TUE33" s="672"/>
      <c r="TUF33" s="672"/>
      <c r="TUG33" s="672"/>
      <c r="TUH33" s="672"/>
      <c r="TUI33" s="672"/>
      <c r="TUJ33" s="672"/>
      <c r="TUK33" s="672"/>
      <c r="TUL33" s="672"/>
      <c r="TUM33" s="672"/>
      <c r="TUN33" s="672"/>
      <c r="TUO33" s="672"/>
      <c r="TUP33" s="672"/>
      <c r="TUQ33" s="672"/>
      <c r="TUR33" s="672"/>
      <c r="TUS33" s="672"/>
      <c r="TUT33" s="672"/>
      <c r="TUU33" s="672"/>
      <c r="TUV33" s="672"/>
      <c r="TUW33" s="672"/>
      <c r="TUX33" s="672"/>
      <c r="TUY33" s="672"/>
      <c r="TUZ33" s="672"/>
      <c r="TVA33" s="672"/>
      <c r="TVB33" s="672"/>
      <c r="TVC33" s="672"/>
      <c r="TVD33" s="672"/>
      <c r="TVE33" s="672"/>
      <c r="TVF33" s="672"/>
      <c r="TVG33" s="672"/>
      <c r="TVH33" s="672"/>
      <c r="TVI33" s="672"/>
      <c r="TVJ33" s="672"/>
      <c r="TVK33" s="672"/>
      <c r="TVL33" s="672"/>
      <c r="TVM33" s="672"/>
      <c r="TVN33" s="672"/>
      <c r="TVO33" s="672"/>
      <c r="TVP33" s="672"/>
      <c r="TVQ33" s="672"/>
      <c r="TVR33" s="672"/>
      <c r="TVS33" s="672"/>
      <c r="TVT33" s="672"/>
      <c r="TVU33" s="672"/>
      <c r="TVV33" s="672"/>
      <c r="TVW33" s="672"/>
      <c r="TVX33" s="672"/>
      <c r="TVY33" s="672"/>
      <c r="TVZ33" s="672"/>
      <c r="TWA33" s="672"/>
      <c r="TWB33" s="672"/>
      <c r="TWC33" s="672"/>
      <c r="TWD33" s="672"/>
      <c r="TWE33" s="672"/>
      <c r="TWF33" s="672"/>
      <c r="TWG33" s="672"/>
      <c r="TWH33" s="672"/>
      <c r="TWI33" s="672"/>
      <c r="TWJ33" s="672"/>
      <c r="TWK33" s="672"/>
      <c r="TWL33" s="672"/>
      <c r="TWM33" s="672"/>
      <c r="TWN33" s="672"/>
      <c r="TWO33" s="672"/>
      <c r="TWP33" s="672"/>
      <c r="TWQ33" s="672"/>
      <c r="TWR33" s="672"/>
      <c r="TWS33" s="672"/>
      <c r="TWT33" s="672"/>
      <c r="TWU33" s="672"/>
      <c r="TWV33" s="672"/>
      <c r="TWW33" s="672"/>
      <c r="TWX33" s="672"/>
      <c r="TWY33" s="672"/>
      <c r="TWZ33" s="672"/>
      <c r="TXA33" s="672"/>
      <c r="TXB33" s="672"/>
      <c r="TXC33" s="672"/>
      <c r="TXD33" s="672"/>
      <c r="TXE33" s="672"/>
      <c r="TXF33" s="672"/>
      <c r="TXG33" s="672"/>
      <c r="TXH33" s="672"/>
      <c r="TXI33" s="672"/>
      <c r="TXJ33" s="672"/>
      <c r="TXK33" s="672"/>
      <c r="TXL33" s="672"/>
      <c r="TXM33" s="672"/>
      <c r="TXN33" s="672"/>
      <c r="TXO33" s="672"/>
      <c r="TXP33" s="672"/>
      <c r="TXQ33" s="672"/>
      <c r="TXR33" s="672"/>
      <c r="TXS33" s="672"/>
      <c r="TXT33" s="672"/>
      <c r="TXU33" s="672"/>
      <c r="TXV33" s="672"/>
      <c r="TXW33" s="672"/>
      <c r="TXX33" s="672"/>
      <c r="TXY33" s="672"/>
      <c r="TXZ33" s="672"/>
      <c r="TYA33" s="672"/>
      <c r="TYB33" s="672"/>
      <c r="TYC33" s="672"/>
      <c r="TYD33" s="672"/>
      <c r="TYE33" s="672"/>
      <c r="TYF33" s="672"/>
      <c r="TYG33" s="672"/>
      <c r="TYH33" s="672"/>
      <c r="TYI33" s="672"/>
      <c r="TYJ33" s="672"/>
      <c r="TYK33" s="672"/>
      <c r="TYL33" s="672"/>
      <c r="TYM33" s="672"/>
      <c r="TYN33" s="672"/>
      <c r="TYO33" s="672"/>
      <c r="TYP33" s="672"/>
      <c r="TYQ33" s="672"/>
      <c r="TYR33" s="672"/>
      <c r="TYS33" s="672"/>
      <c r="TYT33" s="672"/>
      <c r="TYU33" s="672"/>
      <c r="TYV33" s="672"/>
      <c r="TYW33" s="672"/>
      <c r="TYX33" s="672"/>
      <c r="TYY33" s="672"/>
      <c r="TYZ33" s="672"/>
      <c r="TZA33" s="672"/>
      <c r="TZB33" s="672"/>
      <c r="TZC33" s="672"/>
      <c r="TZD33" s="672"/>
      <c r="TZE33" s="672"/>
      <c r="TZF33" s="672"/>
      <c r="TZG33" s="672"/>
      <c r="TZH33" s="672"/>
      <c r="TZI33" s="672"/>
      <c r="TZJ33" s="672"/>
      <c r="TZK33" s="672"/>
      <c r="TZL33" s="672"/>
      <c r="TZM33" s="672"/>
      <c r="TZN33" s="672"/>
      <c r="TZO33" s="672"/>
      <c r="TZP33" s="672"/>
      <c r="TZQ33" s="672"/>
      <c r="TZR33" s="672"/>
      <c r="TZS33" s="672"/>
      <c r="TZT33" s="672"/>
      <c r="TZU33" s="672"/>
      <c r="TZV33" s="672"/>
      <c r="TZW33" s="672"/>
      <c r="TZX33" s="672"/>
      <c r="TZY33" s="672"/>
      <c r="TZZ33" s="672"/>
      <c r="UAA33" s="672"/>
      <c r="UAB33" s="672"/>
      <c r="UAC33" s="672"/>
      <c r="UAD33" s="672"/>
      <c r="UAE33" s="672"/>
      <c r="UAF33" s="672"/>
      <c r="UAG33" s="672"/>
      <c r="UAH33" s="672"/>
      <c r="UAI33" s="672"/>
      <c r="UAJ33" s="672"/>
      <c r="UAK33" s="672"/>
      <c r="UAL33" s="672"/>
      <c r="UAM33" s="672"/>
      <c r="UAN33" s="672"/>
      <c r="UAO33" s="672"/>
      <c r="UAP33" s="672"/>
      <c r="UAQ33" s="672"/>
      <c r="UAR33" s="672"/>
      <c r="UAS33" s="672"/>
      <c r="UAT33" s="672"/>
      <c r="UAU33" s="672"/>
      <c r="UAV33" s="672"/>
      <c r="UAW33" s="672"/>
      <c r="UAX33" s="672"/>
      <c r="UAY33" s="672"/>
      <c r="UAZ33" s="672"/>
      <c r="UBA33" s="672"/>
      <c r="UBB33" s="672"/>
      <c r="UBC33" s="672"/>
      <c r="UBD33" s="672"/>
      <c r="UBE33" s="672"/>
      <c r="UBF33" s="672"/>
      <c r="UBG33" s="672"/>
      <c r="UBH33" s="672"/>
      <c r="UBI33" s="672"/>
      <c r="UBJ33" s="672"/>
      <c r="UBK33" s="672"/>
      <c r="UBL33" s="672"/>
      <c r="UBM33" s="672"/>
      <c r="UBN33" s="672"/>
      <c r="UBO33" s="672"/>
      <c r="UBP33" s="672"/>
      <c r="UBQ33" s="672"/>
      <c r="UBR33" s="672"/>
      <c r="UBS33" s="672"/>
      <c r="UBT33" s="672"/>
      <c r="UBU33" s="672"/>
      <c r="UBV33" s="672"/>
      <c r="UBW33" s="672"/>
      <c r="UBX33" s="672"/>
      <c r="UBY33" s="672"/>
      <c r="UBZ33" s="672"/>
      <c r="UCA33" s="672"/>
      <c r="UCB33" s="672"/>
      <c r="UCC33" s="672"/>
      <c r="UCD33" s="672"/>
      <c r="UCE33" s="672"/>
      <c r="UCF33" s="672"/>
      <c r="UCG33" s="672"/>
      <c r="UCH33" s="672"/>
      <c r="UCI33" s="672"/>
      <c r="UCJ33" s="672"/>
      <c r="UCK33" s="672"/>
      <c r="UCL33" s="672"/>
      <c r="UCM33" s="672"/>
      <c r="UCN33" s="672"/>
      <c r="UCO33" s="672"/>
      <c r="UCP33" s="672"/>
      <c r="UCQ33" s="672"/>
      <c r="UCR33" s="672"/>
      <c r="UCS33" s="672"/>
      <c r="UCT33" s="672"/>
      <c r="UCU33" s="672"/>
      <c r="UCV33" s="672"/>
      <c r="UCW33" s="672"/>
      <c r="UCX33" s="672"/>
      <c r="UCY33" s="672"/>
      <c r="UCZ33" s="672"/>
      <c r="UDA33" s="672"/>
      <c r="UDB33" s="672"/>
      <c r="UDC33" s="672"/>
      <c r="UDD33" s="672"/>
      <c r="UDE33" s="672"/>
      <c r="UDF33" s="672"/>
      <c r="UDG33" s="672"/>
      <c r="UDH33" s="672"/>
      <c r="UDI33" s="672"/>
      <c r="UDJ33" s="672"/>
      <c r="UDK33" s="672"/>
      <c r="UDL33" s="672"/>
      <c r="UDM33" s="672"/>
      <c r="UDN33" s="672"/>
      <c r="UDO33" s="672"/>
      <c r="UDP33" s="672"/>
      <c r="UDQ33" s="672"/>
      <c r="UDR33" s="672"/>
      <c r="UDS33" s="672"/>
      <c r="UDT33" s="672"/>
      <c r="UDU33" s="672"/>
      <c r="UDV33" s="672"/>
      <c r="UDW33" s="672"/>
      <c r="UDX33" s="672"/>
      <c r="UDY33" s="672"/>
      <c r="UDZ33" s="672"/>
      <c r="UEA33" s="672"/>
      <c r="UEB33" s="672"/>
      <c r="UEC33" s="672"/>
      <c r="UED33" s="672"/>
      <c r="UEE33" s="672"/>
      <c r="UEF33" s="672"/>
      <c r="UEG33" s="672"/>
      <c r="UEH33" s="672"/>
      <c r="UEI33" s="672"/>
      <c r="UEJ33" s="672"/>
      <c r="UEK33" s="672"/>
      <c r="UEL33" s="672"/>
      <c r="UEM33" s="672"/>
      <c r="UEN33" s="672"/>
      <c r="UEO33" s="672"/>
      <c r="UEP33" s="672"/>
      <c r="UEQ33" s="672"/>
      <c r="UER33" s="672"/>
      <c r="UES33" s="672"/>
      <c r="UET33" s="672"/>
      <c r="UEU33" s="672"/>
      <c r="UEV33" s="672"/>
      <c r="UEW33" s="672"/>
      <c r="UEX33" s="672"/>
      <c r="UEY33" s="672"/>
      <c r="UEZ33" s="672"/>
      <c r="UFA33" s="672"/>
      <c r="UFB33" s="672"/>
      <c r="UFC33" s="672"/>
      <c r="UFD33" s="672"/>
      <c r="UFE33" s="672"/>
      <c r="UFF33" s="672"/>
      <c r="UFG33" s="672"/>
      <c r="UFH33" s="672"/>
      <c r="UFI33" s="672"/>
      <c r="UFJ33" s="672"/>
      <c r="UFK33" s="672"/>
      <c r="UFL33" s="672"/>
      <c r="UFM33" s="672"/>
      <c r="UFN33" s="672"/>
      <c r="UFO33" s="672"/>
      <c r="UFP33" s="672"/>
      <c r="UFQ33" s="672"/>
      <c r="UFR33" s="672"/>
      <c r="UFS33" s="672"/>
      <c r="UFT33" s="672"/>
      <c r="UFU33" s="672"/>
      <c r="UFV33" s="672"/>
      <c r="UFW33" s="672"/>
      <c r="UFX33" s="672"/>
      <c r="UFY33" s="672"/>
      <c r="UFZ33" s="672"/>
      <c r="UGA33" s="672"/>
      <c r="UGB33" s="672"/>
      <c r="UGC33" s="672"/>
      <c r="UGD33" s="672"/>
      <c r="UGE33" s="672"/>
      <c r="UGF33" s="672"/>
      <c r="UGG33" s="672"/>
      <c r="UGH33" s="672"/>
      <c r="UGI33" s="672"/>
      <c r="UGJ33" s="672"/>
      <c r="UGK33" s="672"/>
      <c r="UGL33" s="672"/>
      <c r="UGM33" s="672"/>
      <c r="UGN33" s="672"/>
      <c r="UGO33" s="672"/>
      <c r="UGP33" s="672"/>
      <c r="UGQ33" s="672"/>
      <c r="UGR33" s="672"/>
      <c r="UGS33" s="672"/>
      <c r="UGT33" s="672"/>
      <c r="UGU33" s="672"/>
      <c r="UGV33" s="672"/>
      <c r="UGW33" s="672"/>
      <c r="UGX33" s="672"/>
      <c r="UGY33" s="672"/>
      <c r="UGZ33" s="672"/>
      <c r="UHA33" s="672"/>
      <c r="UHB33" s="672"/>
      <c r="UHC33" s="672"/>
      <c r="UHD33" s="672"/>
      <c r="UHE33" s="672"/>
      <c r="UHF33" s="672"/>
      <c r="UHG33" s="672"/>
      <c r="UHH33" s="672"/>
      <c r="UHI33" s="672"/>
      <c r="UHJ33" s="672"/>
      <c r="UHK33" s="672"/>
      <c r="UHL33" s="672"/>
      <c r="UHM33" s="672"/>
      <c r="UHN33" s="672"/>
      <c r="UHO33" s="672"/>
      <c r="UHP33" s="672"/>
      <c r="UHQ33" s="672"/>
      <c r="UHR33" s="672"/>
      <c r="UHS33" s="672"/>
      <c r="UHT33" s="672"/>
      <c r="UHU33" s="672"/>
      <c r="UHV33" s="672"/>
      <c r="UHW33" s="672"/>
      <c r="UHX33" s="672"/>
      <c r="UHY33" s="672"/>
      <c r="UHZ33" s="672"/>
      <c r="UIA33" s="672"/>
      <c r="UIB33" s="672"/>
      <c r="UIC33" s="672"/>
      <c r="UID33" s="672"/>
      <c r="UIE33" s="672"/>
      <c r="UIF33" s="672"/>
      <c r="UIG33" s="672"/>
      <c r="UIH33" s="672"/>
      <c r="UII33" s="672"/>
      <c r="UIJ33" s="672"/>
      <c r="UIK33" s="672"/>
      <c r="UIL33" s="672"/>
      <c r="UIM33" s="672"/>
      <c r="UIN33" s="672"/>
      <c r="UIO33" s="672"/>
      <c r="UIP33" s="672"/>
      <c r="UIQ33" s="672"/>
      <c r="UIR33" s="672"/>
      <c r="UIS33" s="672"/>
      <c r="UIT33" s="672"/>
      <c r="UIU33" s="672"/>
      <c r="UIV33" s="672"/>
      <c r="UIW33" s="672"/>
      <c r="UIX33" s="672"/>
      <c r="UIY33" s="672"/>
      <c r="UIZ33" s="672"/>
      <c r="UJA33" s="672"/>
      <c r="UJB33" s="672"/>
      <c r="UJC33" s="672"/>
      <c r="UJD33" s="672"/>
      <c r="UJE33" s="672"/>
      <c r="UJF33" s="672"/>
      <c r="UJG33" s="672"/>
      <c r="UJH33" s="672"/>
      <c r="UJI33" s="672"/>
      <c r="UJJ33" s="672"/>
      <c r="UJK33" s="672"/>
      <c r="UJL33" s="672"/>
      <c r="UJM33" s="672"/>
      <c r="UJN33" s="672"/>
      <c r="UJO33" s="672"/>
      <c r="UJP33" s="672"/>
      <c r="UJQ33" s="672"/>
      <c r="UJR33" s="672"/>
      <c r="UJS33" s="672"/>
      <c r="UJT33" s="672"/>
      <c r="UJU33" s="672"/>
      <c r="UJV33" s="672"/>
      <c r="UJW33" s="672"/>
      <c r="UJX33" s="672"/>
      <c r="UJY33" s="672"/>
      <c r="UJZ33" s="672"/>
      <c r="UKA33" s="672"/>
      <c r="UKB33" s="672"/>
      <c r="UKC33" s="672"/>
      <c r="UKD33" s="672"/>
      <c r="UKE33" s="672"/>
      <c r="UKF33" s="672"/>
      <c r="UKG33" s="672"/>
      <c r="UKH33" s="672"/>
      <c r="UKI33" s="672"/>
      <c r="UKJ33" s="672"/>
      <c r="UKK33" s="672"/>
      <c r="UKL33" s="672"/>
      <c r="UKM33" s="672"/>
      <c r="UKN33" s="672"/>
      <c r="UKO33" s="672"/>
      <c r="UKP33" s="672"/>
      <c r="UKQ33" s="672"/>
      <c r="UKR33" s="672"/>
      <c r="UKS33" s="672"/>
      <c r="UKT33" s="672"/>
      <c r="UKU33" s="672"/>
      <c r="UKV33" s="672"/>
      <c r="UKW33" s="672"/>
      <c r="UKX33" s="672"/>
      <c r="UKY33" s="672"/>
      <c r="UKZ33" s="672"/>
      <c r="ULA33" s="672"/>
      <c r="ULB33" s="672"/>
      <c r="ULC33" s="672"/>
      <c r="ULD33" s="672"/>
      <c r="ULE33" s="672"/>
      <c r="ULF33" s="672"/>
      <c r="ULG33" s="672"/>
      <c r="ULH33" s="672"/>
      <c r="ULI33" s="672"/>
      <c r="ULJ33" s="672"/>
      <c r="ULK33" s="672"/>
      <c r="ULL33" s="672"/>
      <c r="ULM33" s="672"/>
      <c r="ULN33" s="672"/>
      <c r="ULO33" s="672"/>
      <c r="ULP33" s="672"/>
      <c r="ULQ33" s="672"/>
      <c r="ULR33" s="672"/>
      <c r="ULS33" s="672"/>
      <c r="ULT33" s="672"/>
      <c r="ULU33" s="672"/>
      <c r="ULV33" s="672"/>
      <c r="ULW33" s="672"/>
      <c r="ULX33" s="672"/>
      <c r="ULY33" s="672"/>
      <c r="ULZ33" s="672"/>
      <c r="UMA33" s="672"/>
      <c r="UMB33" s="672"/>
      <c r="UMC33" s="672"/>
      <c r="UMD33" s="672"/>
      <c r="UME33" s="672"/>
      <c r="UMF33" s="672"/>
      <c r="UMG33" s="672"/>
      <c r="UMH33" s="672"/>
      <c r="UMI33" s="672"/>
      <c r="UMJ33" s="672"/>
      <c r="UMK33" s="672"/>
      <c r="UML33" s="672"/>
      <c r="UMM33" s="672"/>
      <c r="UMN33" s="672"/>
      <c r="UMO33" s="672"/>
      <c r="UMP33" s="672"/>
      <c r="UMQ33" s="672"/>
      <c r="UMR33" s="672"/>
      <c r="UMS33" s="672"/>
      <c r="UMT33" s="672"/>
      <c r="UMU33" s="672"/>
      <c r="UMV33" s="672"/>
      <c r="UMW33" s="672"/>
      <c r="UMX33" s="672"/>
      <c r="UMY33" s="672"/>
      <c r="UMZ33" s="672"/>
      <c r="UNA33" s="672"/>
      <c r="UNB33" s="672"/>
      <c r="UNC33" s="672"/>
      <c r="UND33" s="672"/>
      <c r="UNE33" s="672"/>
      <c r="UNF33" s="672"/>
      <c r="UNG33" s="672"/>
      <c r="UNH33" s="672"/>
      <c r="UNI33" s="672"/>
      <c r="UNJ33" s="672"/>
      <c r="UNK33" s="672"/>
      <c r="UNL33" s="672"/>
      <c r="UNM33" s="672"/>
      <c r="UNN33" s="672"/>
      <c r="UNO33" s="672"/>
      <c r="UNP33" s="672"/>
      <c r="UNQ33" s="672"/>
      <c r="UNR33" s="672"/>
      <c r="UNS33" s="672"/>
      <c r="UNT33" s="672"/>
      <c r="UNU33" s="672"/>
      <c r="UNV33" s="672"/>
      <c r="UNW33" s="672"/>
      <c r="UNX33" s="672"/>
      <c r="UNY33" s="672"/>
      <c r="UNZ33" s="672"/>
      <c r="UOA33" s="672"/>
      <c r="UOB33" s="672"/>
      <c r="UOC33" s="672"/>
      <c r="UOD33" s="672"/>
      <c r="UOE33" s="672"/>
      <c r="UOF33" s="672"/>
      <c r="UOG33" s="672"/>
      <c r="UOH33" s="672"/>
      <c r="UOI33" s="672"/>
      <c r="UOJ33" s="672"/>
      <c r="UOK33" s="672"/>
      <c r="UOL33" s="672"/>
      <c r="UOM33" s="672"/>
      <c r="UON33" s="672"/>
      <c r="UOO33" s="672"/>
      <c r="UOP33" s="672"/>
      <c r="UOQ33" s="672"/>
      <c r="UOR33" s="672"/>
      <c r="UOS33" s="672"/>
      <c r="UOT33" s="672"/>
      <c r="UOU33" s="672"/>
      <c r="UOV33" s="672"/>
      <c r="UOW33" s="672"/>
      <c r="UOX33" s="672"/>
      <c r="UOY33" s="672"/>
      <c r="UOZ33" s="672"/>
      <c r="UPA33" s="672"/>
      <c r="UPB33" s="672"/>
      <c r="UPC33" s="672"/>
      <c r="UPD33" s="672"/>
      <c r="UPE33" s="672"/>
      <c r="UPF33" s="672"/>
      <c r="UPG33" s="672"/>
      <c r="UPH33" s="672"/>
      <c r="UPI33" s="672"/>
      <c r="UPJ33" s="672"/>
      <c r="UPK33" s="672"/>
      <c r="UPL33" s="672"/>
      <c r="UPM33" s="672"/>
      <c r="UPN33" s="672"/>
      <c r="UPO33" s="672"/>
      <c r="UPP33" s="672"/>
      <c r="UPQ33" s="672"/>
      <c r="UPR33" s="672"/>
      <c r="UPS33" s="672"/>
      <c r="UPT33" s="672"/>
      <c r="UPU33" s="672"/>
      <c r="UPV33" s="672"/>
      <c r="UPW33" s="672"/>
      <c r="UPX33" s="672"/>
      <c r="UPY33" s="672"/>
      <c r="UPZ33" s="672"/>
      <c r="UQA33" s="672"/>
      <c r="UQB33" s="672"/>
      <c r="UQC33" s="672"/>
      <c r="UQD33" s="672"/>
      <c r="UQE33" s="672"/>
      <c r="UQF33" s="672"/>
      <c r="UQG33" s="672"/>
      <c r="UQH33" s="672"/>
      <c r="UQI33" s="672"/>
      <c r="UQJ33" s="672"/>
      <c r="UQK33" s="672"/>
      <c r="UQL33" s="672"/>
      <c r="UQM33" s="672"/>
      <c r="UQN33" s="672"/>
      <c r="UQO33" s="672"/>
      <c r="UQP33" s="672"/>
      <c r="UQQ33" s="672"/>
      <c r="UQR33" s="672"/>
      <c r="UQS33" s="672"/>
      <c r="UQT33" s="672"/>
      <c r="UQU33" s="672"/>
      <c r="UQV33" s="672"/>
      <c r="UQW33" s="672"/>
      <c r="UQX33" s="672"/>
      <c r="UQY33" s="672"/>
      <c r="UQZ33" s="672"/>
      <c r="URA33" s="672"/>
      <c r="URB33" s="672"/>
      <c r="URC33" s="672"/>
      <c r="URD33" s="672"/>
      <c r="URE33" s="672"/>
      <c r="URF33" s="672"/>
      <c r="URG33" s="672"/>
      <c r="URH33" s="672"/>
      <c r="URI33" s="672"/>
      <c r="URJ33" s="672"/>
      <c r="URK33" s="672"/>
      <c r="URL33" s="672"/>
      <c r="URM33" s="672"/>
      <c r="URN33" s="672"/>
      <c r="URO33" s="672"/>
      <c r="URP33" s="672"/>
      <c r="URQ33" s="672"/>
      <c r="URR33" s="672"/>
      <c r="URS33" s="672"/>
      <c r="URT33" s="672"/>
      <c r="URU33" s="672"/>
      <c r="URV33" s="672"/>
      <c r="URW33" s="672"/>
      <c r="URX33" s="672"/>
      <c r="URY33" s="672"/>
      <c r="URZ33" s="672"/>
      <c r="USA33" s="672"/>
      <c r="USB33" s="672"/>
      <c r="USC33" s="672"/>
      <c r="USD33" s="672"/>
      <c r="USE33" s="672"/>
      <c r="USF33" s="672"/>
      <c r="USG33" s="672"/>
      <c r="USH33" s="672"/>
      <c r="USI33" s="672"/>
      <c r="USJ33" s="672"/>
      <c r="USK33" s="672"/>
      <c r="USL33" s="672"/>
      <c r="USM33" s="672"/>
      <c r="USN33" s="672"/>
      <c r="USO33" s="672"/>
      <c r="USP33" s="672"/>
      <c r="USQ33" s="672"/>
      <c r="USR33" s="672"/>
      <c r="USS33" s="672"/>
      <c r="UST33" s="672"/>
      <c r="USU33" s="672"/>
      <c r="USV33" s="672"/>
      <c r="USW33" s="672"/>
      <c r="USX33" s="672"/>
      <c r="USY33" s="672"/>
      <c r="USZ33" s="672"/>
      <c r="UTA33" s="672"/>
      <c r="UTB33" s="672"/>
      <c r="UTC33" s="672"/>
      <c r="UTD33" s="672"/>
      <c r="UTE33" s="672"/>
      <c r="UTF33" s="672"/>
      <c r="UTG33" s="672"/>
      <c r="UTH33" s="672"/>
      <c r="UTI33" s="672"/>
      <c r="UTJ33" s="672"/>
      <c r="UTK33" s="672"/>
      <c r="UTL33" s="672"/>
      <c r="UTM33" s="672"/>
      <c r="UTN33" s="672"/>
      <c r="UTO33" s="672"/>
      <c r="UTP33" s="672"/>
      <c r="UTQ33" s="672"/>
      <c r="UTR33" s="672"/>
      <c r="UTS33" s="672"/>
      <c r="UTT33" s="672"/>
      <c r="UTU33" s="672"/>
      <c r="UTV33" s="672"/>
      <c r="UTW33" s="672"/>
      <c r="UTX33" s="672"/>
      <c r="UTY33" s="672"/>
      <c r="UTZ33" s="672"/>
      <c r="UUA33" s="672"/>
      <c r="UUB33" s="672"/>
      <c r="UUC33" s="672"/>
      <c r="UUD33" s="672"/>
      <c r="UUE33" s="672"/>
      <c r="UUF33" s="672"/>
      <c r="UUG33" s="672"/>
      <c r="UUH33" s="672"/>
      <c r="UUI33" s="672"/>
      <c r="UUJ33" s="672"/>
      <c r="UUK33" s="672"/>
      <c r="UUL33" s="672"/>
      <c r="UUM33" s="672"/>
      <c r="UUN33" s="672"/>
      <c r="UUO33" s="672"/>
      <c r="UUP33" s="672"/>
      <c r="UUQ33" s="672"/>
      <c r="UUR33" s="672"/>
      <c r="UUS33" s="672"/>
      <c r="UUT33" s="672"/>
      <c r="UUU33" s="672"/>
      <c r="UUV33" s="672"/>
      <c r="UUW33" s="672"/>
      <c r="UUX33" s="672"/>
      <c r="UUY33" s="672"/>
      <c r="UUZ33" s="672"/>
      <c r="UVA33" s="672"/>
      <c r="UVB33" s="672"/>
      <c r="UVC33" s="672"/>
      <c r="UVD33" s="672"/>
      <c r="UVE33" s="672"/>
      <c r="UVF33" s="672"/>
      <c r="UVG33" s="672"/>
      <c r="UVH33" s="672"/>
      <c r="UVI33" s="672"/>
      <c r="UVJ33" s="672"/>
      <c r="UVK33" s="672"/>
      <c r="UVL33" s="672"/>
      <c r="UVM33" s="672"/>
      <c r="UVN33" s="672"/>
      <c r="UVO33" s="672"/>
      <c r="UVP33" s="672"/>
      <c r="UVQ33" s="672"/>
      <c r="UVR33" s="672"/>
      <c r="UVS33" s="672"/>
      <c r="UVT33" s="672"/>
      <c r="UVU33" s="672"/>
      <c r="UVV33" s="672"/>
      <c r="UVW33" s="672"/>
      <c r="UVX33" s="672"/>
      <c r="UVY33" s="672"/>
      <c r="UVZ33" s="672"/>
      <c r="UWA33" s="672"/>
      <c r="UWB33" s="672"/>
      <c r="UWC33" s="672"/>
      <c r="UWD33" s="672"/>
      <c r="UWE33" s="672"/>
      <c r="UWF33" s="672"/>
      <c r="UWG33" s="672"/>
      <c r="UWH33" s="672"/>
      <c r="UWI33" s="672"/>
      <c r="UWJ33" s="672"/>
      <c r="UWK33" s="672"/>
      <c r="UWL33" s="672"/>
      <c r="UWM33" s="672"/>
      <c r="UWN33" s="672"/>
      <c r="UWO33" s="672"/>
      <c r="UWP33" s="672"/>
      <c r="UWQ33" s="672"/>
      <c r="UWR33" s="672"/>
      <c r="UWS33" s="672"/>
      <c r="UWT33" s="672"/>
      <c r="UWU33" s="672"/>
      <c r="UWV33" s="672"/>
      <c r="UWW33" s="672"/>
      <c r="UWX33" s="672"/>
      <c r="UWY33" s="672"/>
      <c r="UWZ33" s="672"/>
      <c r="UXA33" s="672"/>
      <c r="UXB33" s="672"/>
      <c r="UXC33" s="672"/>
      <c r="UXD33" s="672"/>
      <c r="UXE33" s="672"/>
      <c r="UXF33" s="672"/>
      <c r="UXG33" s="672"/>
      <c r="UXH33" s="672"/>
      <c r="UXI33" s="672"/>
      <c r="UXJ33" s="672"/>
      <c r="UXK33" s="672"/>
      <c r="UXL33" s="672"/>
      <c r="UXM33" s="672"/>
      <c r="UXN33" s="672"/>
      <c r="UXO33" s="672"/>
      <c r="UXP33" s="672"/>
      <c r="UXQ33" s="672"/>
      <c r="UXR33" s="672"/>
      <c r="UXS33" s="672"/>
      <c r="UXT33" s="672"/>
      <c r="UXU33" s="672"/>
      <c r="UXV33" s="672"/>
      <c r="UXW33" s="672"/>
      <c r="UXX33" s="672"/>
      <c r="UXY33" s="672"/>
      <c r="UXZ33" s="672"/>
      <c r="UYA33" s="672"/>
      <c r="UYB33" s="672"/>
      <c r="UYC33" s="672"/>
      <c r="UYD33" s="672"/>
      <c r="UYE33" s="672"/>
      <c r="UYF33" s="672"/>
      <c r="UYG33" s="672"/>
      <c r="UYH33" s="672"/>
      <c r="UYI33" s="672"/>
      <c r="UYJ33" s="672"/>
      <c r="UYK33" s="672"/>
      <c r="UYL33" s="672"/>
      <c r="UYM33" s="672"/>
      <c r="UYN33" s="672"/>
      <c r="UYO33" s="672"/>
      <c r="UYP33" s="672"/>
      <c r="UYQ33" s="672"/>
      <c r="UYR33" s="672"/>
      <c r="UYS33" s="672"/>
      <c r="UYT33" s="672"/>
      <c r="UYU33" s="672"/>
      <c r="UYV33" s="672"/>
      <c r="UYW33" s="672"/>
      <c r="UYX33" s="672"/>
      <c r="UYY33" s="672"/>
      <c r="UYZ33" s="672"/>
      <c r="UZA33" s="672"/>
      <c r="UZB33" s="672"/>
      <c r="UZC33" s="672"/>
      <c r="UZD33" s="672"/>
      <c r="UZE33" s="672"/>
      <c r="UZF33" s="672"/>
      <c r="UZG33" s="672"/>
      <c r="UZH33" s="672"/>
      <c r="UZI33" s="672"/>
      <c r="UZJ33" s="672"/>
      <c r="UZK33" s="672"/>
      <c r="UZL33" s="672"/>
      <c r="UZM33" s="672"/>
      <c r="UZN33" s="672"/>
      <c r="UZO33" s="672"/>
      <c r="UZP33" s="672"/>
      <c r="UZQ33" s="672"/>
      <c r="UZR33" s="672"/>
      <c r="UZS33" s="672"/>
      <c r="UZT33" s="672"/>
      <c r="UZU33" s="672"/>
      <c r="UZV33" s="672"/>
      <c r="UZW33" s="672"/>
      <c r="UZX33" s="672"/>
      <c r="UZY33" s="672"/>
      <c r="UZZ33" s="672"/>
      <c r="VAA33" s="672"/>
      <c r="VAB33" s="672"/>
      <c r="VAC33" s="672"/>
      <c r="VAD33" s="672"/>
      <c r="VAE33" s="672"/>
      <c r="VAF33" s="672"/>
      <c r="VAG33" s="672"/>
      <c r="VAH33" s="672"/>
      <c r="VAI33" s="672"/>
      <c r="VAJ33" s="672"/>
      <c r="VAK33" s="672"/>
      <c r="VAL33" s="672"/>
      <c r="VAM33" s="672"/>
      <c r="VAN33" s="672"/>
      <c r="VAO33" s="672"/>
      <c r="VAP33" s="672"/>
      <c r="VAQ33" s="672"/>
      <c r="VAR33" s="672"/>
      <c r="VAS33" s="672"/>
      <c r="VAT33" s="672"/>
      <c r="VAU33" s="672"/>
      <c r="VAV33" s="672"/>
      <c r="VAW33" s="672"/>
      <c r="VAX33" s="672"/>
      <c r="VAY33" s="672"/>
      <c r="VAZ33" s="672"/>
      <c r="VBA33" s="672"/>
      <c r="VBB33" s="672"/>
      <c r="VBC33" s="672"/>
      <c r="VBD33" s="672"/>
      <c r="VBE33" s="672"/>
      <c r="VBF33" s="672"/>
      <c r="VBG33" s="672"/>
      <c r="VBH33" s="672"/>
      <c r="VBI33" s="672"/>
      <c r="VBJ33" s="672"/>
      <c r="VBK33" s="672"/>
      <c r="VBL33" s="672"/>
      <c r="VBM33" s="672"/>
      <c r="VBN33" s="672"/>
      <c r="VBO33" s="672"/>
      <c r="VBP33" s="672"/>
      <c r="VBQ33" s="672"/>
      <c r="VBR33" s="672"/>
      <c r="VBS33" s="672"/>
      <c r="VBT33" s="672"/>
      <c r="VBU33" s="672"/>
      <c r="VBV33" s="672"/>
      <c r="VBW33" s="672"/>
      <c r="VBX33" s="672"/>
      <c r="VBY33" s="672"/>
      <c r="VBZ33" s="672"/>
      <c r="VCA33" s="672"/>
      <c r="VCB33" s="672"/>
      <c r="VCC33" s="672"/>
      <c r="VCD33" s="672"/>
      <c r="VCE33" s="672"/>
      <c r="VCF33" s="672"/>
      <c r="VCG33" s="672"/>
      <c r="VCH33" s="672"/>
      <c r="VCI33" s="672"/>
      <c r="VCJ33" s="672"/>
      <c r="VCK33" s="672"/>
      <c r="VCL33" s="672"/>
      <c r="VCM33" s="672"/>
      <c r="VCN33" s="672"/>
      <c r="VCO33" s="672"/>
      <c r="VCP33" s="672"/>
      <c r="VCQ33" s="672"/>
      <c r="VCR33" s="672"/>
      <c r="VCS33" s="672"/>
      <c r="VCT33" s="672"/>
      <c r="VCU33" s="672"/>
      <c r="VCV33" s="672"/>
      <c r="VCW33" s="672"/>
      <c r="VCX33" s="672"/>
      <c r="VCY33" s="672"/>
      <c r="VCZ33" s="672"/>
      <c r="VDA33" s="672"/>
      <c r="VDB33" s="672"/>
      <c r="VDC33" s="672"/>
      <c r="VDD33" s="672"/>
      <c r="VDE33" s="672"/>
      <c r="VDF33" s="672"/>
      <c r="VDG33" s="672"/>
      <c r="VDH33" s="672"/>
      <c r="VDI33" s="672"/>
      <c r="VDJ33" s="672"/>
      <c r="VDK33" s="672"/>
      <c r="VDL33" s="672"/>
      <c r="VDM33" s="672"/>
      <c r="VDN33" s="672"/>
      <c r="VDO33" s="672"/>
      <c r="VDP33" s="672"/>
      <c r="VDQ33" s="672"/>
      <c r="VDR33" s="672"/>
      <c r="VDS33" s="672"/>
      <c r="VDT33" s="672"/>
      <c r="VDU33" s="672"/>
      <c r="VDV33" s="672"/>
      <c r="VDW33" s="672"/>
      <c r="VDX33" s="672"/>
      <c r="VDY33" s="672"/>
      <c r="VDZ33" s="672"/>
      <c r="VEA33" s="672"/>
      <c r="VEB33" s="672"/>
      <c r="VEC33" s="672"/>
      <c r="VED33" s="672"/>
      <c r="VEE33" s="672"/>
      <c r="VEF33" s="672"/>
      <c r="VEG33" s="672"/>
      <c r="VEH33" s="672"/>
      <c r="VEI33" s="672"/>
      <c r="VEJ33" s="672"/>
      <c r="VEK33" s="672"/>
      <c r="VEL33" s="672"/>
      <c r="VEM33" s="672"/>
      <c r="VEN33" s="672"/>
      <c r="VEO33" s="672"/>
      <c r="VEP33" s="672"/>
      <c r="VEQ33" s="672"/>
      <c r="VER33" s="672"/>
      <c r="VES33" s="672"/>
      <c r="VET33" s="672"/>
      <c r="VEU33" s="672"/>
      <c r="VEV33" s="672"/>
      <c r="VEW33" s="672"/>
      <c r="VEX33" s="672"/>
      <c r="VEY33" s="672"/>
      <c r="VEZ33" s="672"/>
      <c r="VFA33" s="672"/>
      <c r="VFB33" s="672"/>
      <c r="VFC33" s="672"/>
      <c r="VFD33" s="672"/>
      <c r="VFE33" s="672"/>
      <c r="VFF33" s="672"/>
      <c r="VFG33" s="672"/>
      <c r="VFH33" s="672"/>
      <c r="VFI33" s="672"/>
      <c r="VFJ33" s="672"/>
      <c r="VFK33" s="672"/>
      <c r="VFL33" s="672"/>
      <c r="VFM33" s="672"/>
      <c r="VFN33" s="672"/>
      <c r="VFO33" s="672"/>
      <c r="VFP33" s="672"/>
      <c r="VFQ33" s="672"/>
      <c r="VFR33" s="672"/>
      <c r="VFS33" s="672"/>
      <c r="VFT33" s="672"/>
      <c r="VFU33" s="672"/>
      <c r="VFV33" s="672"/>
      <c r="VFW33" s="672"/>
      <c r="VFX33" s="672"/>
      <c r="VFY33" s="672"/>
      <c r="VFZ33" s="672"/>
      <c r="VGA33" s="672"/>
      <c r="VGB33" s="672"/>
      <c r="VGC33" s="672"/>
      <c r="VGD33" s="672"/>
      <c r="VGE33" s="672"/>
      <c r="VGF33" s="672"/>
      <c r="VGG33" s="672"/>
      <c r="VGH33" s="672"/>
      <c r="VGI33" s="672"/>
      <c r="VGJ33" s="672"/>
      <c r="VGK33" s="672"/>
      <c r="VGL33" s="672"/>
      <c r="VGM33" s="672"/>
      <c r="VGN33" s="672"/>
      <c r="VGO33" s="672"/>
      <c r="VGP33" s="672"/>
      <c r="VGQ33" s="672"/>
      <c r="VGR33" s="672"/>
      <c r="VGS33" s="672"/>
      <c r="VGT33" s="672"/>
      <c r="VGU33" s="672"/>
      <c r="VGV33" s="672"/>
      <c r="VGW33" s="672"/>
      <c r="VGX33" s="672"/>
      <c r="VGY33" s="672"/>
      <c r="VGZ33" s="672"/>
      <c r="VHA33" s="672"/>
      <c r="VHB33" s="672"/>
      <c r="VHC33" s="672"/>
      <c r="VHD33" s="672"/>
      <c r="VHE33" s="672"/>
      <c r="VHF33" s="672"/>
      <c r="VHG33" s="672"/>
      <c r="VHH33" s="672"/>
      <c r="VHI33" s="672"/>
      <c r="VHJ33" s="672"/>
      <c r="VHK33" s="672"/>
      <c r="VHL33" s="672"/>
      <c r="VHM33" s="672"/>
      <c r="VHN33" s="672"/>
      <c r="VHO33" s="672"/>
      <c r="VHP33" s="672"/>
      <c r="VHQ33" s="672"/>
      <c r="VHR33" s="672"/>
      <c r="VHS33" s="672"/>
      <c r="VHT33" s="672"/>
      <c r="VHU33" s="672"/>
      <c r="VHV33" s="672"/>
      <c r="VHW33" s="672"/>
      <c r="VHX33" s="672"/>
      <c r="VHY33" s="672"/>
      <c r="VHZ33" s="672"/>
      <c r="VIA33" s="672"/>
      <c r="VIB33" s="672"/>
      <c r="VIC33" s="672"/>
      <c r="VID33" s="672"/>
      <c r="VIE33" s="672"/>
      <c r="VIF33" s="672"/>
      <c r="VIG33" s="672"/>
      <c r="VIH33" s="672"/>
      <c r="VII33" s="672"/>
      <c r="VIJ33" s="672"/>
      <c r="VIK33" s="672"/>
      <c r="VIL33" s="672"/>
      <c r="VIM33" s="672"/>
      <c r="VIN33" s="672"/>
      <c r="VIO33" s="672"/>
      <c r="VIP33" s="672"/>
      <c r="VIQ33" s="672"/>
      <c r="VIR33" s="672"/>
      <c r="VIS33" s="672"/>
      <c r="VIT33" s="672"/>
      <c r="VIU33" s="672"/>
      <c r="VIV33" s="672"/>
      <c r="VIW33" s="672"/>
      <c r="VIX33" s="672"/>
      <c r="VIY33" s="672"/>
      <c r="VIZ33" s="672"/>
      <c r="VJA33" s="672"/>
      <c r="VJB33" s="672"/>
      <c r="VJC33" s="672"/>
      <c r="VJD33" s="672"/>
      <c r="VJE33" s="672"/>
      <c r="VJF33" s="672"/>
      <c r="VJG33" s="672"/>
      <c r="VJH33" s="672"/>
      <c r="VJI33" s="672"/>
      <c r="VJJ33" s="672"/>
      <c r="VJK33" s="672"/>
      <c r="VJL33" s="672"/>
      <c r="VJM33" s="672"/>
      <c r="VJN33" s="672"/>
      <c r="VJO33" s="672"/>
      <c r="VJP33" s="672"/>
      <c r="VJQ33" s="672"/>
      <c r="VJR33" s="672"/>
      <c r="VJS33" s="672"/>
      <c r="VJT33" s="672"/>
      <c r="VJU33" s="672"/>
      <c r="VJV33" s="672"/>
      <c r="VJW33" s="672"/>
      <c r="VJX33" s="672"/>
      <c r="VJY33" s="672"/>
      <c r="VJZ33" s="672"/>
      <c r="VKA33" s="672"/>
      <c r="VKB33" s="672"/>
      <c r="VKC33" s="672"/>
      <c r="VKD33" s="672"/>
      <c r="VKE33" s="672"/>
      <c r="VKF33" s="672"/>
      <c r="VKG33" s="672"/>
      <c r="VKH33" s="672"/>
      <c r="VKI33" s="672"/>
      <c r="VKJ33" s="672"/>
      <c r="VKK33" s="672"/>
      <c r="VKL33" s="672"/>
      <c r="VKM33" s="672"/>
      <c r="VKN33" s="672"/>
      <c r="VKO33" s="672"/>
      <c r="VKP33" s="672"/>
      <c r="VKQ33" s="672"/>
      <c r="VKR33" s="672"/>
      <c r="VKS33" s="672"/>
      <c r="VKT33" s="672"/>
      <c r="VKU33" s="672"/>
      <c r="VKV33" s="672"/>
      <c r="VKW33" s="672"/>
      <c r="VKX33" s="672"/>
      <c r="VKY33" s="672"/>
      <c r="VKZ33" s="672"/>
      <c r="VLA33" s="672"/>
      <c r="VLB33" s="672"/>
      <c r="VLC33" s="672"/>
      <c r="VLD33" s="672"/>
      <c r="VLE33" s="672"/>
      <c r="VLF33" s="672"/>
      <c r="VLG33" s="672"/>
      <c r="VLH33" s="672"/>
      <c r="VLI33" s="672"/>
      <c r="VLJ33" s="672"/>
      <c r="VLK33" s="672"/>
      <c r="VLL33" s="672"/>
      <c r="VLM33" s="672"/>
      <c r="VLN33" s="672"/>
      <c r="VLO33" s="672"/>
      <c r="VLP33" s="672"/>
      <c r="VLQ33" s="672"/>
      <c r="VLR33" s="672"/>
      <c r="VLS33" s="672"/>
      <c r="VLT33" s="672"/>
      <c r="VLU33" s="672"/>
      <c r="VLV33" s="672"/>
      <c r="VLW33" s="672"/>
      <c r="VLX33" s="672"/>
      <c r="VLY33" s="672"/>
      <c r="VLZ33" s="672"/>
      <c r="VMA33" s="672"/>
      <c r="VMB33" s="672"/>
      <c r="VMC33" s="672"/>
      <c r="VMD33" s="672"/>
      <c r="VME33" s="672"/>
      <c r="VMF33" s="672"/>
      <c r="VMG33" s="672"/>
      <c r="VMH33" s="672"/>
      <c r="VMI33" s="672"/>
      <c r="VMJ33" s="672"/>
      <c r="VMK33" s="672"/>
      <c r="VML33" s="672"/>
      <c r="VMM33" s="672"/>
      <c r="VMN33" s="672"/>
      <c r="VMO33" s="672"/>
      <c r="VMP33" s="672"/>
      <c r="VMQ33" s="672"/>
      <c r="VMR33" s="672"/>
      <c r="VMS33" s="672"/>
      <c r="VMT33" s="672"/>
      <c r="VMU33" s="672"/>
      <c r="VMV33" s="672"/>
      <c r="VMW33" s="672"/>
      <c r="VMX33" s="672"/>
      <c r="VMY33" s="672"/>
      <c r="VMZ33" s="672"/>
      <c r="VNA33" s="672"/>
      <c r="VNB33" s="672"/>
      <c r="VNC33" s="672"/>
      <c r="VND33" s="672"/>
      <c r="VNE33" s="672"/>
      <c r="VNF33" s="672"/>
      <c r="VNG33" s="672"/>
      <c r="VNH33" s="672"/>
      <c r="VNI33" s="672"/>
      <c r="VNJ33" s="672"/>
      <c r="VNK33" s="672"/>
      <c r="VNL33" s="672"/>
      <c r="VNM33" s="672"/>
      <c r="VNN33" s="672"/>
      <c r="VNO33" s="672"/>
      <c r="VNP33" s="672"/>
      <c r="VNQ33" s="672"/>
      <c r="VNR33" s="672"/>
      <c r="VNS33" s="672"/>
      <c r="VNT33" s="672"/>
      <c r="VNU33" s="672"/>
      <c r="VNV33" s="672"/>
      <c r="VNW33" s="672"/>
      <c r="VNX33" s="672"/>
      <c r="VNY33" s="672"/>
      <c r="VNZ33" s="672"/>
      <c r="VOA33" s="672"/>
      <c r="VOB33" s="672"/>
      <c r="VOC33" s="672"/>
      <c r="VOD33" s="672"/>
      <c r="VOE33" s="672"/>
      <c r="VOF33" s="672"/>
      <c r="VOG33" s="672"/>
      <c r="VOH33" s="672"/>
      <c r="VOI33" s="672"/>
      <c r="VOJ33" s="672"/>
      <c r="VOK33" s="672"/>
      <c r="VOL33" s="672"/>
      <c r="VOM33" s="672"/>
      <c r="VON33" s="672"/>
      <c r="VOO33" s="672"/>
      <c r="VOP33" s="672"/>
      <c r="VOQ33" s="672"/>
      <c r="VOR33" s="672"/>
      <c r="VOS33" s="672"/>
      <c r="VOT33" s="672"/>
      <c r="VOU33" s="672"/>
      <c r="VOV33" s="672"/>
      <c r="VOW33" s="672"/>
      <c r="VOX33" s="672"/>
      <c r="VOY33" s="672"/>
      <c r="VOZ33" s="672"/>
      <c r="VPA33" s="672"/>
      <c r="VPB33" s="672"/>
      <c r="VPC33" s="672"/>
      <c r="VPD33" s="672"/>
      <c r="VPE33" s="672"/>
      <c r="VPF33" s="672"/>
      <c r="VPG33" s="672"/>
      <c r="VPH33" s="672"/>
      <c r="VPI33" s="672"/>
      <c r="VPJ33" s="672"/>
      <c r="VPK33" s="672"/>
      <c r="VPL33" s="672"/>
      <c r="VPM33" s="672"/>
      <c r="VPN33" s="672"/>
      <c r="VPO33" s="672"/>
      <c r="VPP33" s="672"/>
      <c r="VPQ33" s="672"/>
      <c r="VPR33" s="672"/>
      <c r="VPS33" s="672"/>
      <c r="VPT33" s="672"/>
      <c r="VPU33" s="672"/>
      <c r="VPV33" s="672"/>
      <c r="VPW33" s="672"/>
      <c r="VPX33" s="672"/>
      <c r="VPY33" s="672"/>
      <c r="VPZ33" s="672"/>
      <c r="VQA33" s="672"/>
      <c r="VQB33" s="672"/>
      <c r="VQC33" s="672"/>
      <c r="VQD33" s="672"/>
      <c r="VQE33" s="672"/>
      <c r="VQF33" s="672"/>
      <c r="VQG33" s="672"/>
      <c r="VQH33" s="672"/>
      <c r="VQI33" s="672"/>
      <c r="VQJ33" s="672"/>
      <c r="VQK33" s="672"/>
      <c r="VQL33" s="672"/>
      <c r="VQM33" s="672"/>
      <c r="VQN33" s="672"/>
      <c r="VQO33" s="672"/>
      <c r="VQP33" s="672"/>
      <c r="VQQ33" s="672"/>
      <c r="VQR33" s="672"/>
      <c r="VQS33" s="672"/>
      <c r="VQT33" s="672"/>
      <c r="VQU33" s="672"/>
      <c r="VQV33" s="672"/>
      <c r="VQW33" s="672"/>
      <c r="VQX33" s="672"/>
      <c r="VQY33" s="672"/>
      <c r="VQZ33" s="672"/>
      <c r="VRA33" s="672"/>
      <c r="VRB33" s="672"/>
      <c r="VRC33" s="672"/>
      <c r="VRD33" s="672"/>
      <c r="VRE33" s="672"/>
      <c r="VRF33" s="672"/>
      <c r="VRG33" s="672"/>
      <c r="VRH33" s="672"/>
      <c r="VRI33" s="672"/>
      <c r="VRJ33" s="672"/>
      <c r="VRK33" s="672"/>
      <c r="VRL33" s="672"/>
      <c r="VRM33" s="672"/>
      <c r="VRN33" s="672"/>
      <c r="VRO33" s="672"/>
      <c r="VRP33" s="672"/>
      <c r="VRQ33" s="672"/>
      <c r="VRR33" s="672"/>
      <c r="VRS33" s="672"/>
      <c r="VRT33" s="672"/>
      <c r="VRU33" s="672"/>
      <c r="VRV33" s="672"/>
      <c r="VRW33" s="672"/>
      <c r="VRX33" s="672"/>
      <c r="VRY33" s="672"/>
      <c r="VRZ33" s="672"/>
      <c r="VSA33" s="672"/>
      <c r="VSB33" s="672"/>
      <c r="VSC33" s="672"/>
      <c r="VSD33" s="672"/>
      <c r="VSE33" s="672"/>
      <c r="VSF33" s="672"/>
      <c r="VSG33" s="672"/>
      <c r="VSH33" s="672"/>
      <c r="VSI33" s="672"/>
      <c r="VSJ33" s="672"/>
      <c r="VSK33" s="672"/>
      <c r="VSL33" s="672"/>
      <c r="VSM33" s="672"/>
      <c r="VSN33" s="672"/>
      <c r="VSO33" s="672"/>
      <c r="VSP33" s="672"/>
      <c r="VSQ33" s="672"/>
      <c r="VSR33" s="672"/>
      <c r="VSS33" s="672"/>
      <c r="VST33" s="672"/>
      <c r="VSU33" s="672"/>
      <c r="VSV33" s="672"/>
      <c r="VSW33" s="672"/>
      <c r="VSX33" s="672"/>
      <c r="VSY33" s="672"/>
      <c r="VSZ33" s="672"/>
      <c r="VTA33" s="672"/>
      <c r="VTB33" s="672"/>
      <c r="VTC33" s="672"/>
      <c r="VTD33" s="672"/>
      <c r="VTE33" s="672"/>
      <c r="VTF33" s="672"/>
      <c r="VTG33" s="672"/>
      <c r="VTH33" s="672"/>
      <c r="VTI33" s="672"/>
      <c r="VTJ33" s="672"/>
      <c r="VTK33" s="672"/>
      <c r="VTL33" s="672"/>
      <c r="VTM33" s="672"/>
      <c r="VTN33" s="672"/>
      <c r="VTO33" s="672"/>
      <c r="VTP33" s="672"/>
      <c r="VTQ33" s="672"/>
      <c r="VTR33" s="672"/>
      <c r="VTS33" s="672"/>
      <c r="VTT33" s="672"/>
      <c r="VTU33" s="672"/>
      <c r="VTV33" s="672"/>
      <c r="VTW33" s="672"/>
      <c r="VTX33" s="672"/>
      <c r="VTY33" s="672"/>
      <c r="VTZ33" s="672"/>
      <c r="VUA33" s="672"/>
      <c r="VUB33" s="672"/>
      <c r="VUC33" s="672"/>
      <c r="VUD33" s="672"/>
      <c r="VUE33" s="672"/>
      <c r="VUF33" s="672"/>
      <c r="VUG33" s="672"/>
      <c r="VUH33" s="672"/>
      <c r="VUI33" s="672"/>
      <c r="VUJ33" s="672"/>
      <c r="VUK33" s="672"/>
      <c r="VUL33" s="672"/>
      <c r="VUM33" s="672"/>
      <c r="VUN33" s="672"/>
      <c r="VUO33" s="672"/>
      <c r="VUP33" s="672"/>
      <c r="VUQ33" s="672"/>
      <c r="VUR33" s="672"/>
      <c r="VUS33" s="672"/>
      <c r="VUT33" s="672"/>
      <c r="VUU33" s="672"/>
      <c r="VUV33" s="672"/>
      <c r="VUW33" s="672"/>
      <c r="VUX33" s="672"/>
      <c r="VUY33" s="672"/>
      <c r="VUZ33" s="672"/>
      <c r="VVA33" s="672"/>
      <c r="VVB33" s="672"/>
      <c r="VVC33" s="672"/>
      <c r="VVD33" s="672"/>
      <c r="VVE33" s="672"/>
      <c r="VVF33" s="672"/>
      <c r="VVG33" s="672"/>
      <c r="VVH33" s="672"/>
      <c r="VVI33" s="672"/>
      <c r="VVJ33" s="672"/>
      <c r="VVK33" s="672"/>
      <c r="VVL33" s="672"/>
      <c r="VVM33" s="672"/>
      <c r="VVN33" s="672"/>
      <c r="VVO33" s="672"/>
      <c r="VVP33" s="672"/>
      <c r="VVQ33" s="672"/>
      <c r="VVR33" s="672"/>
      <c r="VVS33" s="672"/>
      <c r="VVT33" s="672"/>
      <c r="VVU33" s="672"/>
      <c r="VVV33" s="672"/>
      <c r="VVW33" s="672"/>
      <c r="VVX33" s="672"/>
      <c r="VVY33" s="672"/>
      <c r="VVZ33" s="672"/>
      <c r="VWA33" s="672"/>
      <c r="VWB33" s="672"/>
      <c r="VWC33" s="672"/>
      <c r="VWD33" s="672"/>
      <c r="VWE33" s="672"/>
      <c r="VWF33" s="672"/>
      <c r="VWG33" s="672"/>
      <c r="VWH33" s="672"/>
      <c r="VWI33" s="672"/>
      <c r="VWJ33" s="672"/>
      <c r="VWK33" s="672"/>
      <c r="VWL33" s="672"/>
      <c r="VWM33" s="672"/>
      <c r="VWN33" s="672"/>
      <c r="VWO33" s="672"/>
      <c r="VWP33" s="672"/>
      <c r="VWQ33" s="672"/>
      <c r="VWR33" s="672"/>
      <c r="VWS33" s="672"/>
      <c r="VWT33" s="672"/>
      <c r="VWU33" s="672"/>
      <c r="VWV33" s="672"/>
      <c r="VWW33" s="672"/>
      <c r="VWX33" s="672"/>
      <c r="VWY33" s="672"/>
      <c r="VWZ33" s="672"/>
      <c r="VXA33" s="672"/>
      <c r="VXB33" s="672"/>
      <c r="VXC33" s="672"/>
      <c r="VXD33" s="672"/>
      <c r="VXE33" s="672"/>
      <c r="VXF33" s="672"/>
      <c r="VXG33" s="672"/>
      <c r="VXH33" s="672"/>
      <c r="VXI33" s="672"/>
      <c r="VXJ33" s="672"/>
      <c r="VXK33" s="672"/>
      <c r="VXL33" s="672"/>
      <c r="VXM33" s="672"/>
      <c r="VXN33" s="672"/>
      <c r="VXO33" s="672"/>
      <c r="VXP33" s="672"/>
      <c r="VXQ33" s="672"/>
      <c r="VXR33" s="672"/>
      <c r="VXS33" s="672"/>
      <c r="VXT33" s="672"/>
      <c r="VXU33" s="672"/>
      <c r="VXV33" s="672"/>
      <c r="VXW33" s="672"/>
      <c r="VXX33" s="672"/>
      <c r="VXY33" s="672"/>
      <c r="VXZ33" s="672"/>
      <c r="VYA33" s="672"/>
      <c r="VYB33" s="672"/>
      <c r="VYC33" s="672"/>
      <c r="VYD33" s="672"/>
      <c r="VYE33" s="672"/>
      <c r="VYF33" s="672"/>
      <c r="VYG33" s="672"/>
      <c r="VYH33" s="672"/>
      <c r="VYI33" s="672"/>
      <c r="VYJ33" s="672"/>
      <c r="VYK33" s="672"/>
      <c r="VYL33" s="672"/>
      <c r="VYM33" s="672"/>
      <c r="VYN33" s="672"/>
      <c r="VYO33" s="672"/>
      <c r="VYP33" s="672"/>
      <c r="VYQ33" s="672"/>
      <c r="VYR33" s="672"/>
      <c r="VYS33" s="672"/>
      <c r="VYT33" s="672"/>
      <c r="VYU33" s="672"/>
      <c r="VYV33" s="672"/>
      <c r="VYW33" s="672"/>
      <c r="VYX33" s="672"/>
      <c r="VYY33" s="672"/>
      <c r="VYZ33" s="672"/>
      <c r="VZA33" s="672"/>
      <c r="VZB33" s="672"/>
      <c r="VZC33" s="672"/>
      <c r="VZD33" s="672"/>
      <c r="VZE33" s="672"/>
      <c r="VZF33" s="672"/>
      <c r="VZG33" s="672"/>
      <c r="VZH33" s="672"/>
      <c r="VZI33" s="672"/>
      <c r="VZJ33" s="672"/>
      <c r="VZK33" s="672"/>
      <c r="VZL33" s="672"/>
      <c r="VZM33" s="672"/>
      <c r="VZN33" s="672"/>
      <c r="VZO33" s="672"/>
      <c r="VZP33" s="672"/>
      <c r="VZQ33" s="672"/>
      <c r="VZR33" s="672"/>
      <c r="VZS33" s="672"/>
      <c r="VZT33" s="672"/>
      <c r="VZU33" s="672"/>
      <c r="VZV33" s="672"/>
      <c r="VZW33" s="672"/>
      <c r="VZX33" s="672"/>
      <c r="VZY33" s="672"/>
      <c r="VZZ33" s="672"/>
      <c r="WAA33" s="672"/>
      <c r="WAB33" s="672"/>
      <c r="WAC33" s="672"/>
      <c r="WAD33" s="672"/>
      <c r="WAE33" s="672"/>
      <c r="WAF33" s="672"/>
      <c r="WAG33" s="672"/>
      <c r="WAH33" s="672"/>
      <c r="WAI33" s="672"/>
      <c r="WAJ33" s="672"/>
      <c r="WAK33" s="672"/>
      <c r="WAL33" s="672"/>
      <c r="WAM33" s="672"/>
      <c r="WAN33" s="672"/>
      <c r="WAO33" s="672"/>
      <c r="WAP33" s="672"/>
      <c r="WAQ33" s="672"/>
      <c r="WAR33" s="672"/>
      <c r="WAS33" s="672"/>
      <c r="WAT33" s="672"/>
      <c r="WAU33" s="672"/>
      <c r="WAV33" s="672"/>
      <c r="WAW33" s="672"/>
      <c r="WAX33" s="672"/>
      <c r="WAY33" s="672"/>
      <c r="WAZ33" s="672"/>
      <c r="WBA33" s="672"/>
      <c r="WBB33" s="672"/>
      <c r="WBC33" s="672"/>
      <c r="WBD33" s="672"/>
      <c r="WBE33" s="672"/>
      <c r="WBF33" s="672"/>
      <c r="WBG33" s="672"/>
      <c r="WBH33" s="672"/>
      <c r="WBI33" s="672"/>
      <c r="WBJ33" s="672"/>
      <c r="WBK33" s="672"/>
      <c r="WBL33" s="672"/>
      <c r="WBM33" s="672"/>
      <c r="WBN33" s="672"/>
      <c r="WBO33" s="672"/>
      <c r="WBP33" s="672"/>
      <c r="WBQ33" s="672"/>
      <c r="WBR33" s="672"/>
      <c r="WBS33" s="672"/>
      <c r="WBT33" s="672"/>
      <c r="WBU33" s="672"/>
      <c r="WBV33" s="672"/>
      <c r="WBW33" s="672"/>
      <c r="WBX33" s="672"/>
      <c r="WBY33" s="672"/>
      <c r="WBZ33" s="672"/>
      <c r="WCA33" s="672"/>
      <c r="WCB33" s="672"/>
      <c r="WCC33" s="672"/>
      <c r="WCD33" s="672"/>
      <c r="WCE33" s="672"/>
      <c r="WCF33" s="672"/>
      <c r="WCG33" s="672"/>
      <c r="WCH33" s="672"/>
      <c r="WCI33" s="672"/>
      <c r="WCJ33" s="672"/>
      <c r="WCK33" s="672"/>
      <c r="WCL33" s="672"/>
      <c r="WCM33" s="672"/>
      <c r="WCN33" s="672"/>
      <c r="WCO33" s="672"/>
      <c r="WCP33" s="672"/>
      <c r="WCQ33" s="672"/>
      <c r="WCR33" s="672"/>
      <c r="WCS33" s="672"/>
      <c r="WCT33" s="672"/>
      <c r="WCU33" s="672"/>
      <c r="WCV33" s="672"/>
      <c r="WCW33" s="672"/>
      <c r="WCX33" s="672"/>
      <c r="WCY33" s="672"/>
      <c r="WCZ33" s="672"/>
      <c r="WDA33" s="672"/>
      <c r="WDB33" s="672"/>
      <c r="WDC33" s="672"/>
      <c r="WDD33" s="672"/>
      <c r="WDE33" s="672"/>
      <c r="WDF33" s="672"/>
      <c r="WDG33" s="672"/>
      <c r="WDH33" s="672"/>
      <c r="WDI33" s="672"/>
      <c r="WDJ33" s="672"/>
      <c r="WDK33" s="672"/>
      <c r="WDL33" s="672"/>
      <c r="WDM33" s="672"/>
      <c r="WDN33" s="672"/>
      <c r="WDO33" s="672"/>
      <c r="WDP33" s="672"/>
      <c r="WDQ33" s="672"/>
      <c r="WDR33" s="672"/>
      <c r="WDS33" s="672"/>
      <c r="WDT33" s="672"/>
      <c r="WDU33" s="672"/>
      <c r="WDV33" s="672"/>
      <c r="WDW33" s="672"/>
      <c r="WDX33" s="672"/>
      <c r="WDY33" s="672"/>
      <c r="WDZ33" s="672"/>
      <c r="WEA33" s="672"/>
      <c r="WEB33" s="672"/>
      <c r="WEC33" s="672"/>
      <c r="WED33" s="672"/>
      <c r="WEE33" s="672"/>
      <c r="WEF33" s="672"/>
      <c r="WEG33" s="672"/>
      <c r="WEH33" s="672"/>
      <c r="WEI33" s="672"/>
      <c r="WEJ33" s="672"/>
      <c r="WEK33" s="672"/>
      <c r="WEL33" s="672"/>
      <c r="WEM33" s="672"/>
      <c r="WEN33" s="672"/>
      <c r="WEO33" s="672"/>
      <c r="WEP33" s="672"/>
      <c r="WEQ33" s="672"/>
      <c r="WER33" s="672"/>
      <c r="WES33" s="672"/>
      <c r="WET33" s="672"/>
      <c r="WEU33" s="672"/>
      <c r="WEV33" s="672"/>
      <c r="WEW33" s="672"/>
      <c r="WEX33" s="672"/>
      <c r="WEY33" s="672"/>
      <c r="WEZ33" s="672"/>
      <c r="WFA33" s="672"/>
      <c r="WFB33" s="672"/>
      <c r="WFC33" s="672"/>
      <c r="WFD33" s="672"/>
      <c r="WFE33" s="672"/>
      <c r="WFF33" s="672"/>
      <c r="WFG33" s="672"/>
      <c r="WFH33" s="672"/>
      <c r="WFI33" s="672"/>
      <c r="WFJ33" s="672"/>
      <c r="WFK33" s="672"/>
      <c r="WFL33" s="672"/>
      <c r="WFM33" s="672"/>
      <c r="WFN33" s="672"/>
      <c r="WFO33" s="672"/>
      <c r="WFP33" s="672"/>
      <c r="WFQ33" s="672"/>
      <c r="WFR33" s="672"/>
      <c r="WFS33" s="672"/>
      <c r="WFT33" s="672"/>
      <c r="WFU33" s="672"/>
      <c r="WFV33" s="672"/>
      <c r="WFW33" s="672"/>
      <c r="WFX33" s="672"/>
      <c r="WFY33" s="672"/>
      <c r="WFZ33" s="672"/>
      <c r="WGA33" s="672"/>
      <c r="WGB33" s="672"/>
      <c r="WGC33" s="672"/>
      <c r="WGD33" s="672"/>
      <c r="WGE33" s="672"/>
      <c r="WGF33" s="672"/>
      <c r="WGG33" s="672"/>
      <c r="WGH33" s="672"/>
      <c r="WGI33" s="672"/>
      <c r="WGJ33" s="672"/>
      <c r="WGK33" s="672"/>
      <c r="WGL33" s="672"/>
      <c r="WGM33" s="672"/>
      <c r="WGN33" s="672"/>
      <c r="WGO33" s="672"/>
      <c r="WGP33" s="672"/>
      <c r="WGQ33" s="672"/>
      <c r="WGR33" s="672"/>
      <c r="WGS33" s="672"/>
      <c r="WGT33" s="672"/>
      <c r="WGU33" s="672"/>
      <c r="WGV33" s="672"/>
      <c r="WGW33" s="672"/>
      <c r="WGX33" s="672"/>
      <c r="WGY33" s="672"/>
      <c r="WGZ33" s="672"/>
      <c r="WHA33" s="672"/>
      <c r="WHB33" s="672"/>
      <c r="WHC33" s="672"/>
      <c r="WHD33" s="672"/>
      <c r="WHE33" s="672"/>
      <c r="WHF33" s="672"/>
      <c r="WHG33" s="672"/>
      <c r="WHH33" s="672"/>
      <c r="WHI33" s="672"/>
      <c r="WHJ33" s="672"/>
      <c r="WHK33" s="672"/>
      <c r="WHL33" s="672"/>
      <c r="WHM33" s="672"/>
      <c r="WHN33" s="672"/>
      <c r="WHO33" s="672"/>
      <c r="WHP33" s="672"/>
      <c r="WHQ33" s="672"/>
      <c r="WHR33" s="672"/>
      <c r="WHS33" s="672"/>
      <c r="WHT33" s="672"/>
      <c r="WHU33" s="672"/>
      <c r="WHV33" s="672"/>
      <c r="WHW33" s="672"/>
      <c r="WHX33" s="672"/>
      <c r="WHY33" s="672"/>
      <c r="WHZ33" s="672"/>
      <c r="WIA33" s="672"/>
      <c r="WIB33" s="672"/>
      <c r="WIC33" s="672"/>
      <c r="WID33" s="672"/>
      <c r="WIE33" s="672"/>
      <c r="WIF33" s="672"/>
      <c r="WIG33" s="672"/>
      <c r="WIH33" s="672"/>
      <c r="WII33" s="672"/>
      <c r="WIJ33" s="672"/>
      <c r="WIK33" s="672"/>
      <c r="WIL33" s="672"/>
      <c r="WIM33" s="672"/>
      <c r="WIN33" s="672"/>
      <c r="WIO33" s="672"/>
      <c r="WIP33" s="672"/>
      <c r="WIQ33" s="672"/>
      <c r="WIR33" s="672"/>
      <c r="WIS33" s="672"/>
      <c r="WIT33" s="672"/>
      <c r="WIU33" s="672"/>
      <c r="WIV33" s="672"/>
      <c r="WIW33" s="672"/>
      <c r="WIX33" s="672"/>
      <c r="WIY33" s="672"/>
      <c r="WIZ33" s="672"/>
      <c r="WJA33" s="672"/>
      <c r="WJB33" s="672"/>
      <c r="WJC33" s="672"/>
      <c r="WJD33" s="672"/>
      <c r="WJE33" s="672"/>
      <c r="WJF33" s="672"/>
      <c r="WJG33" s="672"/>
      <c r="WJH33" s="672"/>
      <c r="WJI33" s="672"/>
      <c r="WJJ33" s="672"/>
      <c r="WJK33" s="672"/>
      <c r="WJL33" s="672"/>
      <c r="WJM33" s="672"/>
      <c r="WJN33" s="672"/>
      <c r="WJO33" s="672"/>
      <c r="WJP33" s="672"/>
      <c r="WJQ33" s="672"/>
      <c r="WJR33" s="672"/>
      <c r="WJS33" s="672"/>
      <c r="WJT33" s="672"/>
      <c r="WJU33" s="672"/>
      <c r="WJV33" s="672"/>
      <c r="WJW33" s="672"/>
      <c r="WJX33" s="672"/>
      <c r="WJY33" s="672"/>
      <c r="WJZ33" s="672"/>
      <c r="WKA33" s="672"/>
      <c r="WKB33" s="672"/>
      <c r="WKC33" s="672"/>
      <c r="WKD33" s="672"/>
      <c r="WKE33" s="672"/>
      <c r="WKF33" s="672"/>
      <c r="WKG33" s="672"/>
      <c r="WKH33" s="672"/>
      <c r="WKI33" s="672"/>
      <c r="WKJ33" s="672"/>
      <c r="WKK33" s="672"/>
      <c r="WKL33" s="672"/>
      <c r="WKM33" s="672"/>
      <c r="WKN33" s="672"/>
      <c r="WKO33" s="672"/>
      <c r="WKP33" s="672"/>
      <c r="WKQ33" s="672"/>
      <c r="WKR33" s="672"/>
      <c r="WKS33" s="672"/>
      <c r="WKT33" s="672"/>
      <c r="WKU33" s="672"/>
      <c r="WKV33" s="672"/>
      <c r="WKW33" s="672"/>
      <c r="WKX33" s="672"/>
      <c r="WKY33" s="672"/>
      <c r="WKZ33" s="672"/>
      <c r="WLA33" s="672"/>
      <c r="WLB33" s="672"/>
      <c r="WLC33" s="672"/>
      <c r="WLD33" s="672"/>
      <c r="WLE33" s="672"/>
      <c r="WLF33" s="672"/>
      <c r="WLG33" s="672"/>
      <c r="WLH33" s="672"/>
      <c r="WLI33" s="672"/>
      <c r="WLJ33" s="672"/>
      <c r="WLK33" s="672"/>
      <c r="WLL33" s="672"/>
      <c r="WLM33" s="672"/>
      <c r="WLN33" s="672"/>
      <c r="WLO33" s="672"/>
      <c r="WLP33" s="672"/>
      <c r="WLQ33" s="672"/>
      <c r="WLR33" s="672"/>
      <c r="WLS33" s="672"/>
      <c r="WLT33" s="672"/>
      <c r="WLU33" s="672"/>
      <c r="WLV33" s="672"/>
      <c r="WLW33" s="672"/>
      <c r="WLX33" s="672"/>
      <c r="WLY33" s="672"/>
      <c r="WLZ33" s="672"/>
      <c r="WMA33" s="672"/>
      <c r="WMB33" s="672"/>
      <c r="WMC33" s="672"/>
      <c r="WMD33" s="672"/>
      <c r="WME33" s="672"/>
      <c r="WMF33" s="672"/>
      <c r="WMG33" s="672"/>
      <c r="WMH33" s="672"/>
      <c r="WMI33" s="672"/>
      <c r="WMJ33" s="672"/>
      <c r="WMK33" s="672"/>
      <c r="WML33" s="672"/>
      <c r="WMM33" s="672"/>
      <c r="WMN33" s="672"/>
      <c r="WMO33" s="672"/>
      <c r="WMP33" s="672"/>
      <c r="WMQ33" s="672"/>
      <c r="WMR33" s="672"/>
      <c r="WMS33" s="672"/>
      <c r="WMT33" s="672"/>
      <c r="WMU33" s="672"/>
      <c r="WMV33" s="672"/>
      <c r="WMW33" s="672"/>
      <c r="WMX33" s="672"/>
      <c r="WMY33" s="672"/>
      <c r="WMZ33" s="672"/>
      <c r="WNA33" s="672"/>
      <c r="WNB33" s="672"/>
      <c r="WNC33" s="672"/>
      <c r="WND33" s="672"/>
      <c r="WNE33" s="672"/>
      <c r="WNF33" s="672"/>
      <c r="WNG33" s="672"/>
      <c r="WNH33" s="672"/>
      <c r="WNI33" s="672"/>
      <c r="WNJ33" s="672"/>
      <c r="WNK33" s="672"/>
      <c r="WNL33" s="672"/>
      <c r="WNM33" s="672"/>
      <c r="WNN33" s="672"/>
      <c r="WNO33" s="672"/>
      <c r="WNP33" s="672"/>
      <c r="WNQ33" s="672"/>
      <c r="WNR33" s="672"/>
      <c r="WNS33" s="672"/>
      <c r="WNT33" s="672"/>
      <c r="WNU33" s="672"/>
      <c r="WNV33" s="672"/>
      <c r="WNW33" s="672"/>
      <c r="WNX33" s="672"/>
      <c r="WNY33" s="672"/>
      <c r="WNZ33" s="672"/>
      <c r="WOA33" s="672"/>
      <c r="WOB33" s="672"/>
      <c r="WOC33" s="672"/>
      <c r="WOD33" s="672"/>
      <c r="WOE33" s="672"/>
      <c r="WOF33" s="672"/>
      <c r="WOG33" s="672"/>
      <c r="WOH33" s="672"/>
      <c r="WOI33" s="672"/>
      <c r="WOJ33" s="672"/>
      <c r="WOK33" s="672"/>
      <c r="WOL33" s="672"/>
      <c r="WOM33" s="672"/>
      <c r="WON33" s="672"/>
      <c r="WOO33" s="672"/>
      <c r="WOP33" s="672"/>
      <c r="WOQ33" s="672"/>
      <c r="WOR33" s="672"/>
      <c r="WOS33" s="672"/>
      <c r="WOT33" s="672"/>
      <c r="WOU33" s="672"/>
      <c r="WOV33" s="672"/>
      <c r="WOW33" s="672"/>
      <c r="WOX33" s="672"/>
      <c r="WOY33" s="672"/>
      <c r="WOZ33" s="672"/>
      <c r="WPA33" s="672"/>
      <c r="WPB33" s="672"/>
      <c r="WPC33" s="672"/>
      <c r="WPD33" s="672"/>
      <c r="WPE33" s="672"/>
      <c r="WPF33" s="672"/>
      <c r="WPG33" s="672"/>
      <c r="WPH33" s="672"/>
      <c r="WPI33" s="672"/>
      <c r="WPJ33" s="672"/>
      <c r="WPK33" s="672"/>
      <c r="WPL33" s="672"/>
      <c r="WPM33" s="672"/>
      <c r="WPN33" s="672"/>
      <c r="WPO33" s="672"/>
      <c r="WPP33" s="672"/>
      <c r="WPQ33" s="672"/>
      <c r="WPR33" s="672"/>
      <c r="WPS33" s="672"/>
      <c r="WPT33" s="672"/>
      <c r="WPU33" s="672"/>
      <c r="WPV33" s="672"/>
      <c r="WPW33" s="672"/>
      <c r="WPX33" s="672"/>
      <c r="WPY33" s="672"/>
      <c r="WPZ33" s="672"/>
      <c r="WQA33" s="672"/>
      <c r="WQB33" s="672"/>
      <c r="WQC33" s="672"/>
      <c r="WQD33" s="672"/>
      <c r="WQE33" s="672"/>
      <c r="WQF33" s="672"/>
      <c r="WQG33" s="672"/>
      <c r="WQH33" s="672"/>
      <c r="WQI33" s="672"/>
      <c r="WQJ33" s="672"/>
      <c r="WQK33" s="672"/>
      <c r="WQL33" s="672"/>
      <c r="WQM33" s="672"/>
      <c r="WQN33" s="672"/>
      <c r="WQO33" s="672"/>
      <c r="WQP33" s="672"/>
      <c r="WQQ33" s="672"/>
      <c r="WQR33" s="672"/>
      <c r="WQS33" s="672"/>
      <c r="WQT33" s="672"/>
      <c r="WQU33" s="672"/>
      <c r="WQV33" s="672"/>
      <c r="WQW33" s="672"/>
      <c r="WQX33" s="672"/>
      <c r="WQY33" s="672"/>
      <c r="WQZ33" s="672"/>
      <c r="WRA33" s="672"/>
      <c r="WRB33" s="672"/>
      <c r="WRC33" s="672"/>
      <c r="WRD33" s="672"/>
      <c r="WRE33" s="672"/>
      <c r="WRF33" s="672"/>
      <c r="WRG33" s="672"/>
      <c r="WRH33" s="672"/>
      <c r="WRI33" s="672"/>
      <c r="WRJ33" s="672"/>
      <c r="WRK33" s="672"/>
      <c r="WRL33" s="672"/>
      <c r="WRM33" s="672"/>
      <c r="WRN33" s="672"/>
      <c r="WRO33" s="672"/>
      <c r="WRP33" s="672"/>
      <c r="WRQ33" s="672"/>
      <c r="WRR33" s="672"/>
      <c r="WRS33" s="672"/>
      <c r="WRT33" s="672"/>
      <c r="WRU33" s="672"/>
      <c r="WRV33" s="672"/>
      <c r="WRW33" s="672"/>
      <c r="WRX33" s="672"/>
      <c r="WRY33" s="672"/>
      <c r="WRZ33" s="672"/>
      <c r="WSA33" s="672"/>
      <c r="WSB33" s="672"/>
      <c r="WSC33" s="672"/>
      <c r="WSD33" s="672"/>
      <c r="WSE33" s="672"/>
      <c r="WSF33" s="672"/>
      <c r="WSG33" s="672"/>
      <c r="WSH33" s="672"/>
      <c r="WSI33" s="672"/>
      <c r="WSJ33" s="672"/>
      <c r="WSK33" s="672"/>
      <c r="WSL33" s="672"/>
      <c r="WSM33" s="672"/>
      <c r="WSN33" s="672"/>
      <c r="WSO33" s="672"/>
      <c r="WSP33" s="672"/>
      <c r="WSQ33" s="672"/>
      <c r="WSR33" s="672"/>
      <c r="WSS33" s="672"/>
      <c r="WST33" s="672"/>
      <c r="WSU33" s="672"/>
      <c r="WSV33" s="672"/>
      <c r="WSW33" s="672"/>
      <c r="WSX33" s="672"/>
      <c r="WSY33" s="672"/>
      <c r="WSZ33" s="672"/>
      <c r="WTA33" s="672"/>
      <c r="WTB33" s="672"/>
      <c r="WTC33" s="672"/>
      <c r="WTD33" s="672"/>
      <c r="WTE33" s="672"/>
      <c r="WTF33" s="672"/>
      <c r="WTG33" s="672"/>
      <c r="WTH33" s="672"/>
      <c r="WTI33" s="672"/>
      <c r="WTJ33" s="672"/>
      <c r="WTK33" s="672"/>
      <c r="WTL33" s="672"/>
      <c r="WTM33" s="672"/>
      <c r="WTN33" s="672"/>
      <c r="WTO33" s="672"/>
      <c r="WTP33" s="672"/>
      <c r="WTQ33" s="672"/>
      <c r="WTR33" s="672"/>
      <c r="WTS33" s="672"/>
      <c r="WTT33" s="672"/>
      <c r="WTU33" s="672"/>
      <c r="WTV33" s="672"/>
      <c r="WTW33" s="672"/>
      <c r="WTX33" s="672"/>
      <c r="WTY33" s="672"/>
      <c r="WTZ33" s="672"/>
      <c r="WUA33" s="672"/>
      <c r="WUB33" s="672"/>
      <c r="WUC33" s="672"/>
      <c r="WUD33" s="672"/>
      <c r="WUE33" s="672"/>
      <c r="WUF33" s="672"/>
      <c r="WUG33" s="672"/>
      <c r="WUH33" s="672"/>
      <c r="WUI33" s="672"/>
      <c r="WUJ33" s="672"/>
      <c r="WUK33" s="672"/>
      <c r="WUL33" s="672"/>
      <c r="WUM33" s="672"/>
      <c r="WUN33" s="672"/>
      <c r="WUO33" s="672"/>
      <c r="WUP33" s="672"/>
      <c r="WUQ33" s="672"/>
      <c r="WUR33" s="672"/>
      <c r="WUS33" s="672"/>
      <c r="WUT33" s="672"/>
      <c r="WUU33" s="672"/>
      <c r="WUV33" s="672"/>
      <c r="WUW33" s="672"/>
      <c r="WUX33" s="672"/>
      <c r="WUY33" s="672"/>
      <c r="WUZ33" s="672"/>
      <c r="WVA33" s="672"/>
      <c r="WVB33" s="672"/>
      <c r="WVC33" s="672"/>
      <c r="WVD33" s="672"/>
      <c r="WVE33" s="672"/>
      <c r="WVF33" s="672"/>
      <c r="WVG33" s="672"/>
      <c r="WVH33" s="672"/>
      <c r="WVI33" s="672"/>
      <c r="WVJ33" s="672"/>
      <c r="WVK33" s="672"/>
      <c r="WVL33" s="672"/>
      <c r="WVM33" s="672"/>
      <c r="WVN33" s="672"/>
      <c r="WVO33" s="672"/>
      <c r="WVP33" s="672"/>
      <c r="WVQ33" s="672"/>
      <c r="WVR33" s="672"/>
      <c r="WVS33" s="672"/>
      <c r="WVT33" s="672"/>
      <c r="WVU33" s="672"/>
      <c r="WVV33" s="672"/>
      <c r="WVW33" s="672"/>
      <c r="WVX33" s="672"/>
      <c r="WVY33" s="672"/>
      <c r="WVZ33" s="672"/>
      <c r="WWA33" s="672"/>
      <c r="WWB33" s="672"/>
      <c r="WWC33" s="672"/>
      <c r="WWD33" s="672"/>
      <c r="WWE33" s="672"/>
      <c r="WWF33" s="672"/>
      <c r="WWG33" s="672"/>
      <c r="WWH33" s="672"/>
      <c r="WWI33" s="672"/>
      <c r="WWJ33" s="672"/>
      <c r="WWK33" s="672"/>
      <c r="WWL33" s="672"/>
      <c r="WWM33" s="672"/>
      <c r="WWN33" s="672"/>
      <c r="WWO33" s="672"/>
      <c r="WWP33" s="672"/>
      <c r="WWQ33" s="672"/>
      <c r="WWR33" s="672"/>
      <c r="WWS33" s="672"/>
      <c r="WWT33" s="672"/>
      <c r="WWU33" s="672"/>
      <c r="WWV33" s="672"/>
      <c r="WWW33" s="672"/>
      <c r="WWX33" s="672"/>
      <c r="WWY33" s="672"/>
      <c r="WWZ33" s="672"/>
      <c r="WXA33" s="672"/>
      <c r="WXB33" s="672"/>
      <c r="WXC33" s="672"/>
      <c r="WXD33" s="672"/>
      <c r="WXE33" s="672"/>
      <c r="WXF33" s="672"/>
      <c r="WXG33" s="672"/>
      <c r="WXH33" s="672"/>
      <c r="WXI33" s="672"/>
      <c r="WXJ33" s="672"/>
      <c r="WXK33" s="672"/>
      <c r="WXL33" s="672"/>
      <c r="WXM33" s="672"/>
      <c r="WXN33" s="672"/>
      <c r="WXO33" s="672"/>
      <c r="WXP33" s="672"/>
      <c r="WXQ33" s="672"/>
      <c r="WXR33" s="672"/>
      <c r="WXS33" s="672"/>
      <c r="WXT33" s="672"/>
      <c r="WXU33" s="672"/>
      <c r="WXV33" s="672"/>
      <c r="WXW33" s="672"/>
      <c r="WXX33" s="672"/>
      <c r="WXY33" s="672"/>
      <c r="WXZ33" s="672"/>
      <c r="WYA33" s="672"/>
      <c r="WYB33" s="672"/>
      <c r="WYC33" s="672"/>
      <c r="WYD33" s="672"/>
      <c r="WYE33" s="672"/>
      <c r="WYF33" s="672"/>
      <c r="WYG33" s="672"/>
      <c r="WYH33" s="672"/>
      <c r="WYI33" s="672"/>
      <c r="WYJ33" s="672"/>
      <c r="WYK33" s="672"/>
      <c r="WYL33" s="672"/>
      <c r="WYM33" s="672"/>
      <c r="WYN33" s="672"/>
      <c r="WYO33" s="672"/>
      <c r="WYP33" s="672"/>
      <c r="WYQ33" s="672"/>
      <c r="WYR33" s="672"/>
      <c r="WYS33" s="672"/>
      <c r="WYT33" s="672"/>
      <c r="WYU33" s="672"/>
      <c r="WYV33" s="672"/>
      <c r="WYW33" s="672"/>
      <c r="WYX33" s="672"/>
      <c r="WYY33" s="672"/>
      <c r="WYZ33" s="672"/>
      <c r="WZA33" s="672"/>
      <c r="WZB33" s="672"/>
      <c r="WZC33" s="672"/>
      <c r="WZD33" s="672"/>
      <c r="WZE33" s="672"/>
      <c r="WZF33" s="672"/>
      <c r="WZG33" s="672"/>
      <c r="WZH33" s="672"/>
      <c r="WZI33" s="672"/>
      <c r="WZJ33" s="672"/>
      <c r="WZK33" s="672"/>
      <c r="WZL33" s="672"/>
      <c r="WZM33" s="672"/>
      <c r="WZN33" s="672"/>
      <c r="WZO33" s="672"/>
      <c r="WZP33" s="672"/>
      <c r="WZQ33" s="672"/>
      <c r="WZR33" s="672"/>
      <c r="WZS33" s="672"/>
      <c r="WZT33" s="672"/>
      <c r="WZU33" s="672"/>
      <c r="WZV33" s="672"/>
      <c r="WZW33" s="672"/>
      <c r="WZX33" s="672"/>
      <c r="WZY33" s="672"/>
      <c r="WZZ33" s="672"/>
      <c r="XAA33" s="672"/>
      <c r="XAB33" s="672"/>
      <c r="XAC33" s="672"/>
      <c r="XAD33" s="672"/>
      <c r="XAE33" s="672"/>
      <c r="XAF33" s="672"/>
      <c r="XAG33" s="672"/>
      <c r="XAH33" s="672"/>
      <c r="XAI33" s="672"/>
      <c r="XAJ33" s="672"/>
      <c r="XAK33" s="672"/>
      <c r="XAL33" s="672"/>
      <c r="XAM33" s="672"/>
      <c r="XAN33" s="672"/>
      <c r="XAO33" s="672"/>
      <c r="XAP33" s="672"/>
      <c r="XAQ33" s="672"/>
      <c r="XAR33" s="672"/>
      <c r="XAS33" s="672"/>
      <c r="XAT33" s="672"/>
      <c r="XAU33" s="672"/>
      <c r="XAV33" s="672"/>
      <c r="XAW33" s="672"/>
      <c r="XAX33" s="672"/>
      <c r="XAY33" s="672"/>
      <c r="XAZ33" s="672"/>
      <c r="XBA33" s="672"/>
      <c r="XBB33" s="672"/>
      <c r="XBC33" s="672"/>
      <c r="XBD33" s="672"/>
      <c r="XBE33" s="672"/>
      <c r="XBF33" s="672"/>
      <c r="XBG33" s="672"/>
      <c r="XBH33" s="672"/>
      <c r="XBI33" s="672"/>
      <c r="XBJ33" s="672"/>
      <c r="XBK33" s="672"/>
      <c r="XBL33" s="672"/>
      <c r="XBM33" s="672"/>
      <c r="XBN33" s="672"/>
      <c r="XBO33" s="672"/>
      <c r="XBP33" s="672"/>
      <c r="XBQ33" s="672"/>
      <c r="XBR33" s="672"/>
      <c r="XBS33" s="672"/>
      <c r="XBT33" s="672"/>
      <c r="XBU33" s="672"/>
      <c r="XBV33" s="672"/>
      <c r="XBW33" s="672"/>
      <c r="XBX33" s="672"/>
      <c r="XBY33" s="672"/>
      <c r="XBZ33" s="672"/>
      <c r="XCA33" s="672"/>
      <c r="XCB33" s="672"/>
      <c r="XCC33" s="672"/>
      <c r="XCD33" s="672"/>
      <c r="XCE33" s="672"/>
      <c r="XCF33" s="672"/>
      <c r="XCG33" s="672"/>
      <c r="XCH33" s="672"/>
      <c r="XCI33" s="672"/>
      <c r="XCJ33" s="672"/>
      <c r="XCK33" s="672"/>
      <c r="XCL33" s="672"/>
      <c r="XCM33" s="672"/>
      <c r="XCN33" s="672"/>
      <c r="XCO33" s="672"/>
      <c r="XCP33" s="672"/>
      <c r="XCQ33" s="672"/>
      <c r="XCR33" s="672"/>
      <c r="XCS33" s="672"/>
      <c r="XCT33" s="672"/>
      <c r="XCU33" s="672"/>
      <c r="XCV33" s="672"/>
      <c r="XCW33" s="672"/>
      <c r="XCX33" s="672"/>
      <c r="XCY33" s="672"/>
      <c r="XCZ33" s="672"/>
      <c r="XDA33" s="672"/>
      <c r="XDB33" s="672"/>
      <c r="XDC33" s="672"/>
      <c r="XDD33" s="672"/>
      <c r="XDE33" s="672"/>
      <c r="XDF33" s="672"/>
      <c r="XDG33" s="672"/>
      <c r="XDH33" s="672"/>
      <c r="XDI33" s="672"/>
      <c r="XDJ33" s="672"/>
      <c r="XDK33" s="672"/>
      <c r="XDL33" s="672"/>
      <c r="XDM33" s="672"/>
      <c r="XDN33" s="672"/>
      <c r="XDO33" s="672"/>
      <c r="XDP33" s="672"/>
      <c r="XDQ33" s="672"/>
      <c r="XDR33" s="672"/>
      <c r="XDS33" s="672"/>
      <c r="XDT33" s="672"/>
      <c r="XDU33" s="672"/>
      <c r="XDV33" s="672"/>
      <c r="XDW33" s="672"/>
      <c r="XDX33" s="672"/>
      <c r="XDY33" s="672"/>
      <c r="XDZ33" s="672"/>
      <c r="XEA33" s="672"/>
      <c r="XEB33" s="672"/>
      <c r="XEC33" s="672"/>
      <c r="XED33" s="672"/>
      <c r="XEE33" s="672"/>
      <c r="XEF33" s="672"/>
      <c r="XEG33" s="672"/>
      <c r="XEH33" s="672"/>
      <c r="XEI33" s="672"/>
      <c r="XEJ33" s="672"/>
      <c r="XEK33" s="672"/>
      <c r="XEL33" s="672"/>
      <c r="XEM33" s="672"/>
      <c r="XEN33" s="672"/>
      <c r="XEO33" s="672"/>
      <c r="XEP33" s="672"/>
      <c r="XEQ33" s="672"/>
      <c r="XER33" s="672"/>
      <c r="XES33" s="672"/>
      <c r="XET33" s="672"/>
      <c r="XEU33" s="672"/>
      <c r="XEV33" s="672"/>
      <c r="XEW33" s="672"/>
      <c r="XEX33" s="672"/>
      <c r="XEY33" s="672"/>
      <c r="XEZ33" s="672"/>
      <c r="XFA33" s="672"/>
      <c r="XFB33" s="672"/>
      <c r="XFC33" s="672"/>
      <c r="XFD33" s="672"/>
    </row>
    <row r="34" spans="1:16384" s="760" customFormat="1" ht="40" customHeight="1" x14ac:dyDescent="0.35">
      <c r="A34" s="797"/>
      <c r="B34" s="798"/>
      <c r="C34" s="798"/>
      <c r="D34" s="798"/>
      <c r="E34" s="798"/>
      <c r="F34" s="798"/>
      <c r="G34" s="798"/>
      <c r="H34" s="799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672"/>
      <c r="W34" s="672"/>
      <c r="X34" s="672"/>
      <c r="Y34" s="672"/>
      <c r="Z34" s="672"/>
      <c r="AA34" s="672"/>
      <c r="AB34" s="672"/>
      <c r="AC34" s="672"/>
      <c r="AD34" s="672"/>
      <c r="AE34" s="672"/>
      <c r="AF34" s="672"/>
      <c r="AG34" s="672"/>
      <c r="AH34" s="672"/>
      <c r="AI34" s="672"/>
      <c r="AJ34" s="672"/>
      <c r="AK34" s="672"/>
      <c r="AL34" s="672"/>
      <c r="AM34" s="672"/>
      <c r="AN34" s="672"/>
      <c r="AO34" s="672"/>
      <c r="AP34" s="672"/>
      <c r="AQ34" s="672"/>
      <c r="AR34" s="672"/>
      <c r="AS34" s="672"/>
      <c r="AT34" s="672"/>
      <c r="AU34" s="672"/>
      <c r="AV34" s="672"/>
      <c r="AW34" s="672"/>
      <c r="AX34" s="672"/>
      <c r="AY34" s="672"/>
      <c r="AZ34" s="672"/>
      <c r="BA34" s="672"/>
      <c r="BB34" s="672"/>
      <c r="BC34" s="672"/>
      <c r="BD34" s="672"/>
      <c r="BE34" s="672"/>
      <c r="BF34" s="672"/>
      <c r="BG34" s="672"/>
      <c r="BH34" s="672"/>
      <c r="BI34" s="672"/>
      <c r="BJ34" s="672"/>
      <c r="BK34" s="672"/>
      <c r="BL34" s="672"/>
      <c r="BM34" s="672"/>
      <c r="BN34" s="672"/>
      <c r="BO34" s="672"/>
      <c r="BP34" s="672"/>
      <c r="BQ34" s="672"/>
      <c r="BR34" s="672"/>
      <c r="BS34" s="672"/>
      <c r="BT34" s="672"/>
      <c r="BU34" s="672"/>
      <c r="BV34" s="672"/>
      <c r="BW34" s="672"/>
      <c r="BX34" s="672"/>
      <c r="BY34" s="672"/>
      <c r="BZ34" s="672"/>
      <c r="CA34" s="672"/>
      <c r="CB34" s="672"/>
      <c r="CC34" s="672"/>
      <c r="CD34" s="672"/>
      <c r="CE34" s="672"/>
      <c r="CF34" s="672"/>
      <c r="CG34" s="672"/>
      <c r="CH34" s="672"/>
      <c r="CI34" s="672"/>
      <c r="CJ34" s="672"/>
      <c r="CK34" s="672"/>
      <c r="CL34" s="672"/>
      <c r="CM34" s="672"/>
      <c r="CN34" s="672"/>
      <c r="CO34" s="672"/>
      <c r="CP34" s="672"/>
      <c r="CQ34" s="672"/>
      <c r="CR34" s="672"/>
      <c r="CS34" s="672"/>
      <c r="CT34" s="672"/>
      <c r="CU34" s="672"/>
      <c r="CV34" s="672"/>
      <c r="CW34" s="672"/>
      <c r="CX34" s="672"/>
      <c r="CY34" s="672"/>
      <c r="CZ34" s="672"/>
      <c r="DA34" s="672"/>
      <c r="DB34" s="672"/>
      <c r="DC34" s="672"/>
      <c r="DD34" s="672"/>
      <c r="DE34" s="672"/>
      <c r="DF34" s="672"/>
      <c r="DG34" s="672"/>
      <c r="DH34" s="672"/>
      <c r="DI34" s="672"/>
      <c r="DJ34" s="672"/>
      <c r="DK34" s="672"/>
      <c r="DL34" s="672"/>
      <c r="DM34" s="672"/>
      <c r="DN34" s="672"/>
      <c r="DO34" s="672"/>
      <c r="DP34" s="672"/>
      <c r="DQ34" s="672"/>
      <c r="DR34" s="672"/>
      <c r="DS34" s="672"/>
      <c r="DT34" s="672"/>
      <c r="DU34" s="672"/>
      <c r="DV34" s="672"/>
      <c r="DW34" s="672"/>
      <c r="DX34" s="672"/>
      <c r="DY34" s="672"/>
      <c r="DZ34" s="672"/>
      <c r="EA34" s="672"/>
      <c r="EB34" s="672"/>
      <c r="EC34" s="672"/>
      <c r="ED34" s="672"/>
      <c r="EE34" s="672"/>
      <c r="EF34" s="672"/>
      <c r="EG34" s="672"/>
      <c r="EH34" s="672"/>
      <c r="EI34" s="672"/>
      <c r="EJ34" s="672"/>
      <c r="EK34" s="672"/>
      <c r="EL34" s="672"/>
      <c r="EM34" s="672"/>
      <c r="EN34" s="672"/>
      <c r="EO34" s="672"/>
      <c r="EP34" s="672"/>
      <c r="EQ34" s="672"/>
      <c r="ER34" s="672"/>
      <c r="ES34" s="672"/>
      <c r="ET34" s="672"/>
      <c r="EU34" s="672"/>
      <c r="EV34" s="672"/>
      <c r="EW34" s="672"/>
      <c r="EX34" s="672"/>
      <c r="EY34" s="672"/>
      <c r="EZ34" s="672"/>
      <c r="FA34" s="672"/>
      <c r="FB34" s="672"/>
      <c r="FC34" s="672"/>
      <c r="FD34" s="672"/>
      <c r="FE34" s="672"/>
      <c r="FF34" s="672"/>
      <c r="FG34" s="672"/>
      <c r="FH34" s="672"/>
      <c r="FI34" s="672"/>
      <c r="FJ34" s="672"/>
      <c r="FK34" s="672"/>
      <c r="FL34" s="672"/>
      <c r="FM34" s="672"/>
      <c r="FN34" s="672"/>
      <c r="FO34" s="672"/>
      <c r="FP34" s="672"/>
      <c r="FQ34" s="672"/>
      <c r="FR34" s="672"/>
      <c r="FS34" s="672"/>
      <c r="FT34" s="672"/>
      <c r="FU34" s="672"/>
      <c r="FV34" s="672"/>
      <c r="FW34" s="672"/>
      <c r="FX34" s="672"/>
      <c r="FY34" s="672"/>
      <c r="FZ34" s="672"/>
      <c r="GA34" s="672"/>
      <c r="GB34" s="672"/>
      <c r="GC34" s="672"/>
      <c r="GD34" s="672"/>
      <c r="GE34" s="672"/>
      <c r="GF34" s="672"/>
      <c r="GG34" s="672"/>
      <c r="GH34" s="672"/>
      <c r="GI34" s="672"/>
      <c r="GJ34" s="672"/>
      <c r="GK34" s="672"/>
      <c r="GL34" s="672"/>
      <c r="GM34" s="672"/>
      <c r="GN34" s="672"/>
      <c r="GO34" s="672"/>
      <c r="GP34" s="672"/>
      <c r="GQ34" s="672"/>
      <c r="GR34" s="672"/>
      <c r="GS34" s="672"/>
      <c r="GT34" s="672"/>
      <c r="GU34" s="672"/>
      <c r="GV34" s="672"/>
      <c r="GW34" s="672"/>
      <c r="GX34" s="672"/>
      <c r="GY34" s="672"/>
      <c r="GZ34" s="672"/>
      <c r="HA34" s="672"/>
      <c r="HB34" s="672"/>
      <c r="HC34" s="672"/>
      <c r="HD34" s="672"/>
      <c r="HE34" s="672"/>
      <c r="HF34" s="672"/>
      <c r="HG34" s="672"/>
      <c r="HH34" s="672"/>
      <c r="HI34" s="672"/>
      <c r="HJ34" s="672"/>
      <c r="HK34" s="672"/>
      <c r="HL34" s="672"/>
      <c r="HM34" s="672"/>
      <c r="HN34" s="672"/>
      <c r="HO34" s="672"/>
      <c r="HP34" s="672"/>
      <c r="HQ34" s="672"/>
      <c r="HR34" s="672"/>
      <c r="HS34" s="672"/>
      <c r="HT34" s="672"/>
      <c r="HU34" s="672"/>
      <c r="HV34" s="672"/>
      <c r="HW34" s="672"/>
      <c r="HX34" s="672"/>
      <c r="HY34" s="672"/>
      <c r="HZ34" s="672"/>
      <c r="IA34" s="672"/>
      <c r="IB34" s="672"/>
      <c r="IC34" s="672"/>
      <c r="ID34" s="672"/>
      <c r="IE34" s="672"/>
      <c r="IF34" s="672"/>
      <c r="IG34" s="672"/>
      <c r="IH34" s="672"/>
      <c r="II34" s="672"/>
      <c r="IJ34" s="672"/>
      <c r="IK34" s="672"/>
      <c r="IL34" s="672"/>
      <c r="IM34" s="672"/>
      <c r="IN34" s="672"/>
      <c r="IO34" s="672"/>
      <c r="IP34" s="672"/>
      <c r="IQ34" s="672"/>
      <c r="IR34" s="672"/>
      <c r="IS34" s="672"/>
      <c r="IT34" s="672"/>
      <c r="IU34" s="672"/>
      <c r="IV34" s="672"/>
      <c r="IW34" s="672"/>
      <c r="IX34" s="672"/>
      <c r="IY34" s="672"/>
      <c r="IZ34" s="672"/>
      <c r="JA34" s="672"/>
      <c r="JB34" s="672"/>
      <c r="JC34" s="672"/>
      <c r="JD34" s="672"/>
      <c r="JE34" s="672"/>
      <c r="JF34" s="672"/>
      <c r="JG34" s="672"/>
      <c r="JH34" s="672"/>
      <c r="JI34" s="672"/>
      <c r="JJ34" s="672"/>
      <c r="JK34" s="672"/>
      <c r="JL34" s="672"/>
      <c r="JM34" s="672"/>
      <c r="JN34" s="672"/>
      <c r="JO34" s="672"/>
      <c r="JP34" s="672"/>
      <c r="JQ34" s="672"/>
      <c r="JR34" s="672"/>
      <c r="JS34" s="672"/>
      <c r="JT34" s="672"/>
      <c r="JU34" s="672"/>
      <c r="JV34" s="672"/>
      <c r="JW34" s="672"/>
      <c r="JX34" s="672"/>
      <c r="JY34" s="672"/>
      <c r="JZ34" s="672"/>
      <c r="KA34" s="672"/>
      <c r="KB34" s="672"/>
      <c r="KC34" s="672"/>
      <c r="KD34" s="672"/>
      <c r="KE34" s="672"/>
      <c r="KF34" s="672"/>
      <c r="KG34" s="672"/>
      <c r="KH34" s="672"/>
      <c r="KI34" s="672"/>
      <c r="KJ34" s="672"/>
      <c r="KK34" s="672"/>
      <c r="KL34" s="672"/>
      <c r="KM34" s="672"/>
      <c r="KN34" s="672"/>
      <c r="KO34" s="672"/>
      <c r="KP34" s="672"/>
      <c r="KQ34" s="672"/>
      <c r="KR34" s="672"/>
      <c r="KS34" s="672"/>
      <c r="KT34" s="672"/>
      <c r="KU34" s="672"/>
      <c r="KV34" s="672"/>
      <c r="KW34" s="672"/>
      <c r="KX34" s="672"/>
      <c r="KY34" s="672"/>
      <c r="KZ34" s="672"/>
      <c r="LA34" s="672"/>
      <c r="LB34" s="672"/>
      <c r="LC34" s="672"/>
      <c r="LD34" s="672"/>
      <c r="LE34" s="672"/>
      <c r="LF34" s="672"/>
      <c r="LG34" s="672"/>
      <c r="LH34" s="672"/>
      <c r="LI34" s="672"/>
      <c r="LJ34" s="672"/>
      <c r="LK34" s="672"/>
      <c r="LL34" s="672"/>
      <c r="LM34" s="672"/>
      <c r="LN34" s="672"/>
      <c r="LO34" s="672"/>
      <c r="LP34" s="672"/>
      <c r="LQ34" s="672"/>
      <c r="LR34" s="672"/>
      <c r="LS34" s="672"/>
      <c r="LT34" s="672"/>
      <c r="LU34" s="672"/>
      <c r="LV34" s="672"/>
      <c r="LW34" s="672"/>
      <c r="LX34" s="672"/>
      <c r="LY34" s="672"/>
      <c r="LZ34" s="672"/>
      <c r="MA34" s="672"/>
      <c r="MB34" s="672"/>
      <c r="MC34" s="672"/>
      <c r="MD34" s="672"/>
      <c r="ME34" s="672"/>
      <c r="MF34" s="672"/>
      <c r="MG34" s="672"/>
      <c r="MH34" s="672"/>
      <c r="MI34" s="672"/>
      <c r="MJ34" s="672"/>
      <c r="MK34" s="672"/>
      <c r="ML34" s="672"/>
      <c r="MM34" s="672"/>
      <c r="MN34" s="672"/>
      <c r="MO34" s="672"/>
      <c r="MP34" s="672"/>
      <c r="MQ34" s="672"/>
      <c r="MR34" s="672"/>
      <c r="MS34" s="672"/>
      <c r="MT34" s="672"/>
      <c r="MU34" s="672"/>
      <c r="MV34" s="672"/>
      <c r="MW34" s="672"/>
      <c r="MX34" s="672"/>
      <c r="MY34" s="672"/>
      <c r="MZ34" s="672"/>
      <c r="NA34" s="672"/>
      <c r="NB34" s="672"/>
      <c r="NC34" s="672"/>
      <c r="ND34" s="672"/>
      <c r="NE34" s="672"/>
      <c r="NF34" s="672"/>
      <c r="NG34" s="672"/>
      <c r="NH34" s="672"/>
      <c r="NI34" s="672"/>
      <c r="NJ34" s="672"/>
      <c r="NK34" s="672"/>
      <c r="NL34" s="672"/>
      <c r="NM34" s="672"/>
      <c r="NN34" s="672"/>
      <c r="NO34" s="672"/>
      <c r="NP34" s="672"/>
      <c r="NQ34" s="672"/>
      <c r="NR34" s="672"/>
      <c r="NS34" s="672"/>
      <c r="NT34" s="672"/>
      <c r="NU34" s="672"/>
      <c r="NV34" s="672"/>
      <c r="NW34" s="672"/>
      <c r="NX34" s="672"/>
      <c r="NY34" s="672"/>
      <c r="NZ34" s="672"/>
      <c r="OA34" s="672"/>
      <c r="OB34" s="672"/>
      <c r="OC34" s="672"/>
      <c r="OD34" s="672"/>
      <c r="OE34" s="672"/>
      <c r="OF34" s="672"/>
      <c r="OG34" s="672"/>
      <c r="OH34" s="672"/>
      <c r="OI34" s="672"/>
      <c r="OJ34" s="672"/>
      <c r="OK34" s="672"/>
      <c r="OL34" s="672"/>
      <c r="OM34" s="672"/>
      <c r="ON34" s="672"/>
      <c r="OO34" s="672"/>
      <c r="OP34" s="672"/>
      <c r="OQ34" s="672"/>
      <c r="OR34" s="672"/>
      <c r="OS34" s="672"/>
      <c r="OT34" s="672"/>
      <c r="OU34" s="672"/>
      <c r="OV34" s="672"/>
      <c r="OW34" s="672"/>
      <c r="OX34" s="672"/>
      <c r="OY34" s="672"/>
      <c r="OZ34" s="672"/>
      <c r="PA34" s="672"/>
      <c r="PB34" s="672"/>
      <c r="PC34" s="672"/>
      <c r="PD34" s="672"/>
      <c r="PE34" s="672"/>
      <c r="PF34" s="672"/>
      <c r="PG34" s="672"/>
      <c r="PH34" s="672"/>
      <c r="PI34" s="672"/>
      <c r="PJ34" s="672"/>
      <c r="PK34" s="672"/>
      <c r="PL34" s="672"/>
      <c r="PM34" s="672"/>
      <c r="PN34" s="672"/>
      <c r="PO34" s="672"/>
      <c r="PP34" s="672"/>
      <c r="PQ34" s="672"/>
      <c r="PR34" s="672"/>
      <c r="PS34" s="672"/>
      <c r="PT34" s="672"/>
      <c r="PU34" s="672"/>
      <c r="PV34" s="672"/>
      <c r="PW34" s="672"/>
      <c r="PX34" s="672"/>
      <c r="PY34" s="672"/>
      <c r="PZ34" s="672"/>
      <c r="QA34" s="672"/>
      <c r="QB34" s="672"/>
      <c r="QC34" s="672"/>
      <c r="QD34" s="672"/>
      <c r="QE34" s="672"/>
      <c r="QF34" s="672"/>
      <c r="QG34" s="672"/>
      <c r="QH34" s="672"/>
      <c r="QI34" s="672"/>
      <c r="QJ34" s="672"/>
      <c r="QK34" s="672"/>
      <c r="QL34" s="672"/>
      <c r="QM34" s="672"/>
      <c r="QN34" s="672"/>
      <c r="QO34" s="672"/>
      <c r="QP34" s="672"/>
      <c r="QQ34" s="672"/>
      <c r="QR34" s="672"/>
      <c r="QS34" s="672"/>
      <c r="QT34" s="672"/>
      <c r="QU34" s="672"/>
      <c r="QV34" s="672"/>
      <c r="QW34" s="672"/>
      <c r="QX34" s="672"/>
      <c r="QY34" s="672"/>
      <c r="QZ34" s="672"/>
      <c r="RA34" s="672"/>
      <c r="RB34" s="672"/>
      <c r="RC34" s="672"/>
      <c r="RD34" s="672"/>
      <c r="RE34" s="672"/>
      <c r="RF34" s="672"/>
      <c r="RG34" s="672"/>
      <c r="RH34" s="672"/>
      <c r="RI34" s="672"/>
      <c r="RJ34" s="672"/>
      <c r="RK34" s="672"/>
      <c r="RL34" s="672"/>
      <c r="RM34" s="672"/>
      <c r="RN34" s="672"/>
      <c r="RO34" s="672"/>
      <c r="RP34" s="672"/>
      <c r="RQ34" s="672"/>
      <c r="RR34" s="672"/>
      <c r="RS34" s="672"/>
      <c r="RT34" s="672"/>
      <c r="RU34" s="672"/>
      <c r="RV34" s="672"/>
      <c r="RW34" s="672"/>
      <c r="RX34" s="672"/>
      <c r="RY34" s="672"/>
      <c r="RZ34" s="672"/>
      <c r="SA34" s="672"/>
      <c r="SB34" s="672"/>
      <c r="SC34" s="672"/>
      <c r="SD34" s="672"/>
      <c r="SE34" s="672"/>
      <c r="SF34" s="672"/>
      <c r="SG34" s="672"/>
      <c r="SH34" s="672"/>
      <c r="SI34" s="672"/>
      <c r="SJ34" s="672"/>
      <c r="SK34" s="672"/>
      <c r="SL34" s="672"/>
      <c r="SM34" s="672"/>
      <c r="SN34" s="672"/>
      <c r="SO34" s="672"/>
      <c r="SP34" s="672"/>
      <c r="SQ34" s="672"/>
      <c r="SR34" s="672"/>
      <c r="SS34" s="672"/>
      <c r="ST34" s="672"/>
      <c r="SU34" s="672"/>
      <c r="SV34" s="672"/>
      <c r="SW34" s="672"/>
      <c r="SX34" s="672"/>
      <c r="SY34" s="672"/>
      <c r="SZ34" s="672"/>
      <c r="TA34" s="672"/>
      <c r="TB34" s="672"/>
      <c r="TC34" s="672"/>
      <c r="TD34" s="672"/>
      <c r="TE34" s="672"/>
      <c r="TF34" s="672"/>
      <c r="TG34" s="672"/>
      <c r="TH34" s="672"/>
      <c r="TI34" s="672"/>
      <c r="TJ34" s="672"/>
      <c r="TK34" s="672"/>
      <c r="TL34" s="672"/>
      <c r="TM34" s="672"/>
      <c r="TN34" s="672"/>
      <c r="TO34" s="672"/>
      <c r="TP34" s="672"/>
      <c r="TQ34" s="672"/>
      <c r="TR34" s="672"/>
      <c r="TS34" s="672"/>
      <c r="TT34" s="672"/>
      <c r="TU34" s="672"/>
      <c r="TV34" s="672"/>
      <c r="TW34" s="672"/>
      <c r="TX34" s="672"/>
      <c r="TY34" s="672"/>
      <c r="TZ34" s="672"/>
      <c r="UA34" s="672"/>
      <c r="UB34" s="672"/>
      <c r="UC34" s="672"/>
      <c r="UD34" s="672"/>
      <c r="UE34" s="672"/>
      <c r="UF34" s="672"/>
      <c r="UG34" s="672"/>
      <c r="UH34" s="672"/>
      <c r="UI34" s="672"/>
      <c r="UJ34" s="672"/>
      <c r="UK34" s="672"/>
      <c r="UL34" s="672"/>
      <c r="UM34" s="672"/>
      <c r="UN34" s="672"/>
      <c r="UO34" s="672"/>
      <c r="UP34" s="672"/>
      <c r="UQ34" s="672"/>
      <c r="UR34" s="672"/>
      <c r="US34" s="672"/>
      <c r="UT34" s="672"/>
      <c r="UU34" s="672"/>
      <c r="UV34" s="672"/>
      <c r="UW34" s="672"/>
      <c r="UX34" s="672"/>
      <c r="UY34" s="672"/>
      <c r="UZ34" s="672"/>
      <c r="VA34" s="672"/>
      <c r="VB34" s="672"/>
      <c r="VC34" s="672"/>
      <c r="VD34" s="672"/>
      <c r="VE34" s="672"/>
      <c r="VF34" s="672"/>
      <c r="VG34" s="672"/>
      <c r="VH34" s="672"/>
      <c r="VI34" s="672"/>
      <c r="VJ34" s="672"/>
      <c r="VK34" s="672"/>
      <c r="VL34" s="672"/>
      <c r="VM34" s="672"/>
      <c r="VN34" s="672"/>
      <c r="VO34" s="672"/>
      <c r="VP34" s="672"/>
      <c r="VQ34" s="672"/>
      <c r="VR34" s="672"/>
      <c r="VS34" s="672"/>
      <c r="VT34" s="672"/>
      <c r="VU34" s="672"/>
      <c r="VV34" s="672"/>
      <c r="VW34" s="672"/>
      <c r="VX34" s="672"/>
      <c r="VY34" s="672"/>
      <c r="VZ34" s="672"/>
      <c r="WA34" s="672"/>
      <c r="WB34" s="672"/>
      <c r="WC34" s="672"/>
      <c r="WD34" s="672"/>
      <c r="WE34" s="672"/>
      <c r="WF34" s="672"/>
      <c r="WG34" s="672"/>
      <c r="WH34" s="672"/>
      <c r="WI34" s="672"/>
      <c r="WJ34" s="672"/>
      <c r="WK34" s="672"/>
      <c r="WL34" s="672"/>
      <c r="WM34" s="672"/>
      <c r="WN34" s="672"/>
      <c r="WO34" s="672"/>
      <c r="WP34" s="672"/>
      <c r="WQ34" s="672"/>
      <c r="WR34" s="672"/>
      <c r="WS34" s="672"/>
      <c r="WT34" s="672"/>
      <c r="WU34" s="672"/>
      <c r="WV34" s="672"/>
      <c r="WW34" s="672"/>
      <c r="WX34" s="672"/>
      <c r="WY34" s="672"/>
      <c r="WZ34" s="672"/>
      <c r="XA34" s="672"/>
      <c r="XB34" s="672"/>
      <c r="XC34" s="672"/>
      <c r="XD34" s="672"/>
      <c r="XE34" s="672"/>
      <c r="XF34" s="672"/>
      <c r="XG34" s="672"/>
      <c r="XH34" s="672"/>
      <c r="XI34" s="672"/>
      <c r="XJ34" s="672"/>
      <c r="XK34" s="672"/>
      <c r="XL34" s="672"/>
      <c r="XM34" s="672"/>
      <c r="XN34" s="672"/>
      <c r="XO34" s="672"/>
      <c r="XP34" s="672"/>
      <c r="XQ34" s="672"/>
      <c r="XR34" s="672"/>
      <c r="XS34" s="672"/>
      <c r="XT34" s="672"/>
      <c r="XU34" s="672"/>
      <c r="XV34" s="672"/>
      <c r="XW34" s="672"/>
      <c r="XX34" s="672"/>
      <c r="XY34" s="672"/>
      <c r="XZ34" s="672"/>
      <c r="YA34" s="672"/>
      <c r="YB34" s="672"/>
      <c r="YC34" s="672"/>
      <c r="YD34" s="672"/>
      <c r="YE34" s="672"/>
      <c r="YF34" s="672"/>
      <c r="YG34" s="672"/>
      <c r="YH34" s="672"/>
      <c r="YI34" s="672"/>
      <c r="YJ34" s="672"/>
      <c r="YK34" s="672"/>
      <c r="YL34" s="672"/>
      <c r="YM34" s="672"/>
      <c r="YN34" s="672"/>
      <c r="YO34" s="672"/>
      <c r="YP34" s="672"/>
      <c r="YQ34" s="672"/>
      <c r="YR34" s="672"/>
      <c r="YS34" s="672"/>
      <c r="YT34" s="672"/>
      <c r="YU34" s="672"/>
      <c r="YV34" s="672"/>
      <c r="YW34" s="672"/>
      <c r="YX34" s="672"/>
      <c r="YY34" s="672"/>
      <c r="YZ34" s="672"/>
      <c r="ZA34" s="672"/>
      <c r="ZB34" s="672"/>
      <c r="ZC34" s="672"/>
      <c r="ZD34" s="672"/>
      <c r="ZE34" s="672"/>
      <c r="ZF34" s="672"/>
      <c r="ZG34" s="672"/>
      <c r="ZH34" s="672"/>
      <c r="ZI34" s="672"/>
      <c r="ZJ34" s="672"/>
      <c r="ZK34" s="672"/>
      <c r="ZL34" s="672"/>
      <c r="ZM34" s="672"/>
      <c r="ZN34" s="672"/>
      <c r="ZO34" s="672"/>
      <c r="ZP34" s="672"/>
      <c r="ZQ34" s="672"/>
      <c r="ZR34" s="672"/>
      <c r="ZS34" s="672"/>
      <c r="ZT34" s="672"/>
      <c r="ZU34" s="672"/>
      <c r="ZV34" s="672"/>
      <c r="ZW34" s="672"/>
      <c r="ZX34" s="672"/>
      <c r="ZY34" s="672"/>
      <c r="ZZ34" s="672"/>
      <c r="AAA34" s="672"/>
      <c r="AAB34" s="672"/>
      <c r="AAC34" s="672"/>
      <c r="AAD34" s="672"/>
      <c r="AAE34" s="672"/>
      <c r="AAF34" s="672"/>
      <c r="AAG34" s="672"/>
      <c r="AAH34" s="672"/>
      <c r="AAI34" s="672"/>
      <c r="AAJ34" s="672"/>
      <c r="AAK34" s="672"/>
      <c r="AAL34" s="672"/>
      <c r="AAM34" s="672"/>
      <c r="AAN34" s="672"/>
      <c r="AAO34" s="672"/>
      <c r="AAP34" s="672"/>
      <c r="AAQ34" s="672"/>
      <c r="AAR34" s="672"/>
      <c r="AAS34" s="672"/>
      <c r="AAT34" s="672"/>
      <c r="AAU34" s="672"/>
      <c r="AAV34" s="672"/>
      <c r="AAW34" s="672"/>
      <c r="AAX34" s="672"/>
      <c r="AAY34" s="672"/>
      <c r="AAZ34" s="672"/>
      <c r="ABA34" s="672"/>
      <c r="ABB34" s="672"/>
      <c r="ABC34" s="672"/>
      <c r="ABD34" s="672"/>
      <c r="ABE34" s="672"/>
      <c r="ABF34" s="672"/>
      <c r="ABG34" s="672"/>
      <c r="ABH34" s="672"/>
      <c r="ABI34" s="672"/>
      <c r="ABJ34" s="672"/>
      <c r="ABK34" s="672"/>
      <c r="ABL34" s="672"/>
      <c r="ABM34" s="672"/>
      <c r="ABN34" s="672"/>
      <c r="ABO34" s="672"/>
      <c r="ABP34" s="672"/>
      <c r="ABQ34" s="672"/>
      <c r="ABR34" s="672"/>
      <c r="ABS34" s="672"/>
      <c r="ABT34" s="672"/>
      <c r="ABU34" s="672"/>
      <c r="ABV34" s="672"/>
      <c r="ABW34" s="672"/>
      <c r="ABX34" s="672"/>
      <c r="ABY34" s="672"/>
      <c r="ABZ34" s="672"/>
      <c r="ACA34" s="672"/>
      <c r="ACB34" s="672"/>
      <c r="ACC34" s="672"/>
      <c r="ACD34" s="672"/>
      <c r="ACE34" s="672"/>
      <c r="ACF34" s="672"/>
      <c r="ACG34" s="672"/>
      <c r="ACH34" s="672"/>
      <c r="ACI34" s="672"/>
      <c r="ACJ34" s="672"/>
      <c r="ACK34" s="672"/>
      <c r="ACL34" s="672"/>
      <c r="ACM34" s="672"/>
      <c r="ACN34" s="672"/>
      <c r="ACO34" s="672"/>
      <c r="ACP34" s="672"/>
      <c r="ACQ34" s="672"/>
      <c r="ACR34" s="672"/>
      <c r="ACS34" s="672"/>
      <c r="ACT34" s="672"/>
      <c r="ACU34" s="672"/>
      <c r="ACV34" s="672"/>
      <c r="ACW34" s="672"/>
      <c r="ACX34" s="672"/>
      <c r="ACY34" s="672"/>
      <c r="ACZ34" s="672"/>
      <c r="ADA34" s="672"/>
      <c r="ADB34" s="672"/>
      <c r="ADC34" s="672"/>
      <c r="ADD34" s="672"/>
      <c r="ADE34" s="672"/>
      <c r="ADF34" s="672"/>
      <c r="ADG34" s="672"/>
      <c r="ADH34" s="672"/>
      <c r="ADI34" s="672"/>
      <c r="ADJ34" s="672"/>
      <c r="ADK34" s="672"/>
      <c r="ADL34" s="672"/>
      <c r="ADM34" s="672"/>
      <c r="ADN34" s="672"/>
      <c r="ADO34" s="672"/>
      <c r="ADP34" s="672"/>
      <c r="ADQ34" s="672"/>
      <c r="ADR34" s="672"/>
      <c r="ADS34" s="672"/>
      <c r="ADT34" s="672"/>
      <c r="ADU34" s="672"/>
      <c r="ADV34" s="672"/>
      <c r="ADW34" s="672"/>
      <c r="ADX34" s="672"/>
      <c r="ADY34" s="672"/>
      <c r="ADZ34" s="672"/>
      <c r="AEA34" s="672"/>
      <c r="AEB34" s="672"/>
      <c r="AEC34" s="672"/>
      <c r="AED34" s="672"/>
      <c r="AEE34" s="672"/>
      <c r="AEF34" s="672"/>
      <c r="AEG34" s="672"/>
      <c r="AEH34" s="672"/>
      <c r="AEI34" s="672"/>
      <c r="AEJ34" s="672"/>
      <c r="AEK34" s="672"/>
      <c r="AEL34" s="672"/>
      <c r="AEM34" s="672"/>
      <c r="AEN34" s="672"/>
      <c r="AEO34" s="672"/>
      <c r="AEP34" s="672"/>
      <c r="AEQ34" s="672"/>
      <c r="AER34" s="672"/>
      <c r="AES34" s="672"/>
      <c r="AET34" s="672"/>
      <c r="AEU34" s="672"/>
      <c r="AEV34" s="672"/>
      <c r="AEW34" s="672"/>
      <c r="AEX34" s="672"/>
      <c r="AEY34" s="672"/>
      <c r="AEZ34" s="672"/>
      <c r="AFA34" s="672"/>
      <c r="AFB34" s="672"/>
      <c r="AFC34" s="672"/>
      <c r="AFD34" s="672"/>
      <c r="AFE34" s="672"/>
      <c r="AFF34" s="672"/>
      <c r="AFG34" s="672"/>
      <c r="AFH34" s="672"/>
      <c r="AFI34" s="672"/>
      <c r="AFJ34" s="672"/>
      <c r="AFK34" s="672"/>
      <c r="AFL34" s="672"/>
      <c r="AFM34" s="672"/>
      <c r="AFN34" s="672"/>
      <c r="AFO34" s="672"/>
      <c r="AFP34" s="672"/>
      <c r="AFQ34" s="672"/>
      <c r="AFR34" s="672"/>
      <c r="AFS34" s="672"/>
      <c r="AFT34" s="672"/>
      <c r="AFU34" s="672"/>
      <c r="AFV34" s="672"/>
      <c r="AFW34" s="672"/>
      <c r="AFX34" s="672"/>
      <c r="AFY34" s="672"/>
      <c r="AFZ34" s="672"/>
      <c r="AGA34" s="672"/>
      <c r="AGB34" s="672"/>
      <c r="AGC34" s="672"/>
      <c r="AGD34" s="672"/>
      <c r="AGE34" s="672"/>
      <c r="AGF34" s="672"/>
      <c r="AGG34" s="672"/>
      <c r="AGH34" s="672"/>
      <c r="AGI34" s="672"/>
      <c r="AGJ34" s="672"/>
      <c r="AGK34" s="672"/>
      <c r="AGL34" s="672"/>
      <c r="AGM34" s="672"/>
      <c r="AGN34" s="672"/>
      <c r="AGO34" s="672"/>
      <c r="AGP34" s="672"/>
      <c r="AGQ34" s="672"/>
      <c r="AGR34" s="672"/>
      <c r="AGS34" s="672"/>
      <c r="AGT34" s="672"/>
      <c r="AGU34" s="672"/>
      <c r="AGV34" s="672"/>
      <c r="AGW34" s="672"/>
      <c r="AGX34" s="672"/>
      <c r="AGY34" s="672"/>
      <c r="AGZ34" s="672"/>
      <c r="AHA34" s="672"/>
      <c r="AHB34" s="672"/>
      <c r="AHC34" s="672"/>
      <c r="AHD34" s="672"/>
      <c r="AHE34" s="672"/>
      <c r="AHF34" s="672"/>
      <c r="AHG34" s="672"/>
      <c r="AHH34" s="672"/>
      <c r="AHI34" s="672"/>
      <c r="AHJ34" s="672"/>
      <c r="AHK34" s="672"/>
      <c r="AHL34" s="672"/>
      <c r="AHM34" s="672"/>
      <c r="AHN34" s="672"/>
      <c r="AHO34" s="672"/>
      <c r="AHP34" s="672"/>
      <c r="AHQ34" s="672"/>
      <c r="AHR34" s="672"/>
      <c r="AHS34" s="672"/>
      <c r="AHT34" s="672"/>
      <c r="AHU34" s="672"/>
      <c r="AHV34" s="672"/>
      <c r="AHW34" s="672"/>
      <c r="AHX34" s="672"/>
      <c r="AHY34" s="672"/>
      <c r="AHZ34" s="672"/>
      <c r="AIA34" s="672"/>
      <c r="AIB34" s="672"/>
      <c r="AIC34" s="672"/>
      <c r="AID34" s="672"/>
      <c r="AIE34" s="672"/>
      <c r="AIF34" s="672"/>
      <c r="AIG34" s="672"/>
      <c r="AIH34" s="672"/>
      <c r="AII34" s="672"/>
      <c r="AIJ34" s="672"/>
      <c r="AIK34" s="672"/>
      <c r="AIL34" s="672"/>
      <c r="AIM34" s="672"/>
      <c r="AIN34" s="672"/>
      <c r="AIO34" s="672"/>
      <c r="AIP34" s="672"/>
      <c r="AIQ34" s="672"/>
      <c r="AIR34" s="672"/>
      <c r="AIS34" s="672"/>
      <c r="AIT34" s="672"/>
      <c r="AIU34" s="672"/>
      <c r="AIV34" s="672"/>
      <c r="AIW34" s="672"/>
      <c r="AIX34" s="672"/>
      <c r="AIY34" s="672"/>
      <c r="AIZ34" s="672"/>
      <c r="AJA34" s="672"/>
      <c r="AJB34" s="672"/>
      <c r="AJC34" s="672"/>
      <c r="AJD34" s="672"/>
      <c r="AJE34" s="672"/>
      <c r="AJF34" s="672"/>
      <c r="AJG34" s="672"/>
      <c r="AJH34" s="672"/>
      <c r="AJI34" s="672"/>
      <c r="AJJ34" s="672"/>
      <c r="AJK34" s="672"/>
      <c r="AJL34" s="672"/>
      <c r="AJM34" s="672"/>
      <c r="AJN34" s="672"/>
      <c r="AJO34" s="672"/>
      <c r="AJP34" s="672"/>
      <c r="AJQ34" s="672"/>
      <c r="AJR34" s="672"/>
      <c r="AJS34" s="672"/>
      <c r="AJT34" s="672"/>
      <c r="AJU34" s="672"/>
      <c r="AJV34" s="672"/>
      <c r="AJW34" s="672"/>
      <c r="AJX34" s="672"/>
      <c r="AJY34" s="672"/>
      <c r="AJZ34" s="672"/>
      <c r="AKA34" s="672"/>
      <c r="AKB34" s="672"/>
      <c r="AKC34" s="672"/>
      <c r="AKD34" s="672"/>
      <c r="AKE34" s="672"/>
      <c r="AKF34" s="672"/>
      <c r="AKG34" s="672"/>
      <c r="AKH34" s="672"/>
      <c r="AKI34" s="672"/>
      <c r="AKJ34" s="672"/>
      <c r="AKK34" s="672"/>
      <c r="AKL34" s="672"/>
      <c r="AKM34" s="672"/>
      <c r="AKN34" s="672"/>
      <c r="AKO34" s="672"/>
      <c r="AKP34" s="672"/>
      <c r="AKQ34" s="672"/>
      <c r="AKR34" s="672"/>
      <c r="AKS34" s="672"/>
      <c r="AKT34" s="672"/>
      <c r="AKU34" s="672"/>
      <c r="AKV34" s="672"/>
      <c r="AKW34" s="672"/>
      <c r="AKX34" s="672"/>
      <c r="AKY34" s="672"/>
      <c r="AKZ34" s="672"/>
      <c r="ALA34" s="672"/>
      <c r="ALB34" s="672"/>
      <c r="ALC34" s="672"/>
      <c r="ALD34" s="672"/>
      <c r="ALE34" s="672"/>
      <c r="ALF34" s="672"/>
      <c r="ALG34" s="672"/>
      <c r="ALH34" s="672"/>
      <c r="ALI34" s="672"/>
      <c r="ALJ34" s="672"/>
      <c r="ALK34" s="672"/>
      <c r="ALL34" s="672"/>
      <c r="ALM34" s="672"/>
      <c r="ALN34" s="672"/>
      <c r="ALO34" s="672"/>
      <c r="ALP34" s="672"/>
      <c r="ALQ34" s="672"/>
      <c r="ALR34" s="672"/>
      <c r="ALS34" s="672"/>
      <c r="ALT34" s="672"/>
      <c r="ALU34" s="672"/>
      <c r="ALV34" s="672"/>
      <c r="ALW34" s="672"/>
      <c r="ALX34" s="672"/>
      <c r="ALY34" s="672"/>
      <c r="ALZ34" s="672"/>
      <c r="AMA34" s="672"/>
      <c r="AMB34" s="672"/>
      <c r="AMC34" s="672"/>
      <c r="AMD34" s="672"/>
      <c r="AME34" s="672"/>
      <c r="AMF34" s="672"/>
      <c r="AMG34" s="672"/>
      <c r="AMH34" s="672"/>
      <c r="AMI34" s="672"/>
      <c r="AMJ34" s="672"/>
      <c r="AMK34" s="672"/>
      <c r="AML34" s="672"/>
      <c r="AMM34" s="672"/>
      <c r="AMN34" s="672"/>
      <c r="AMO34" s="672"/>
      <c r="AMP34" s="672"/>
      <c r="AMQ34" s="672"/>
      <c r="AMR34" s="672"/>
      <c r="AMS34" s="672"/>
      <c r="AMT34" s="672"/>
      <c r="AMU34" s="672"/>
      <c r="AMV34" s="672"/>
      <c r="AMW34" s="672"/>
      <c r="AMX34" s="672"/>
      <c r="AMY34" s="672"/>
      <c r="AMZ34" s="672"/>
      <c r="ANA34" s="672"/>
      <c r="ANB34" s="672"/>
      <c r="ANC34" s="672"/>
      <c r="AND34" s="672"/>
      <c r="ANE34" s="672"/>
      <c r="ANF34" s="672"/>
      <c r="ANG34" s="672"/>
      <c r="ANH34" s="672"/>
      <c r="ANI34" s="672"/>
      <c r="ANJ34" s="672"/>
      <c r="ANK34" s="672"/>
      <c r="ANL34" s="672"/>
      <c r="ANM34" s="672"/>
      <c r="ANN34" s="672"/>
      <c r="ANO34" s="672"/>
      <c r="ANP34" s="672"/>
      <c r="ANQ34" s="672"/>
      <c r="ANR34" s="672"/>
      <c r="ANS34" s="672"/>
      <c r="ANT34" s="672"/>
      <c r="ANU34" s="672"/>
      <c r="ANV34" s="672"/>
      <c r="ANW34" s="672"/>
      <c r="ANX34" s="672"/>
      <c r="ANY34" s="672"/>
      <c r="ANZ34" s="672"/>
      <c r="AOA34" s="672"/>
      <c r="AOB34" s="672"/>
      <c r="AOC34" s="672"/>
      <c r="AOD34" s="672"/>
      <c r="AOE34" s="672"/>
      <c r="AOF34" s="672"/>
      <c r="AOG34" s="672"/>
      <c r="AOH34" s="672"/>
      <c r="AOI34" s="672"/>
      <c r="AOJ34" s="672"/>
      <c r="AOK34" s="672"/>
      <c r="AOL34" s="672"/>
      <c r="AOM34" s="672"/>
      <c r="AON34" s="672"/>
      <c r="AOO34" s="672"/>
      <c r="AOP34" s="672"/>
      <c r="AOQ34" s="672"/>
      <c r="AOR34" s="672"/>
      <c r="AOS34" s="672"/>
      <c r="AOT34" s="672"/>
      <c r="AOU34" s="672"/>
      <c r="AOV34" s="672"/>
      <c r="AOW34" s="672"/>
      <c r="AOX34" s="672"/>
      <c r="AOY34" s="672"/>
      <c r="AOZ34" s="672"/>
      <c r="APA34" s="672"/>
      <c r="APB34" s="672"/>
      <c r="APC34" s="672"/>
      <c r="APD34" s="672"/>
      <c r="APE34" s="672"/>
      <c r="APF34" s="672"/>
      <c r="APG34" s="672"/>
      <c r="APH34" s="672"/>
      <c r="API34" s="672"/>
      <c r="APJ34" s="672"/>
      <c r="APK34" s="672"/>
      <c r="APL34" s="672"/>
      <c r="APM34" s="672"/>
      <c r="APN34" s="672"/>
      <c r="APO34" s="672"/>
      <c r="APP34" s="672"/>
      <c r="APQ34" s="672"/>
      <c r="APR34" s="672"/>
      <c r="APS34" s="672"/>
      <c r="APT34" s="672"/>
      <c r="APU34" s="672"/>
      <c r="APV34" s="672"/>
      <c r="APW34" s="672"/>
      <c r="APX34" s="672"/>
      <c r="APY34" s="672"/>
      <c r="APZ34" s="672"/>
      <c r="AQA34" s="672"/>
      <c r="AQB34" s="672"/>
      <c r="AQC34" s="672"/>
      <c r="AQD34" s="672"/>
      <c r="AQE34" s="672"/>
      <c r="AQF34" s="672"/>
      <c r="AQG34" s="672"/>
      <c r="AQH34" s="672"/>
      <c r="AQI34" s="672"/>
      <c r="AQJ34" s="672"/>
      <c r="AQK34" s="672"/>
      <c r="AQL34" s="672"/>
      <c r="AQM34" s="672"/>
      <c r="AQN34" s="672"/>
      <c r="AQO34" s="672"/>
      <c r="AQP34" s="672"/>
      <c r="AQQ34" s="672"/>
      <c r="AQR34" s="672"/>
      <c r="AQS34" s="672"/>
      <c r="AQT34" s="672"/>
      <c r="AQU34" s="672"/>
      <c r="AQV34" s="672"/>
      <c r="AQW34" s="672"/>
      <c r="AQX34" s="672"/>
      <c r="AQY34" s="672"/>
      <c r="AQZ34" s="672"/>
      <c r="ARA34" s="672"/>
      <c r="ARB34" s="672"/>
      <c r="ARC34" s="672"/>
      <c r="ARD34" s="672"/>
      <c r="ARE34" s="672"/>
      <c r="ARF34" s="672"/>
      <c r="ARG34" s="672"/>
      <c r="ARH34" s="672"/>
      <c r="ARI34" s="672"/>
      <c r="ARJ34" s="672"/>
      <c r="ARK34" s="672"/>
      <c r="ARL34" s="672"/>
      <c r="ARM34" s="672"/>
      <c r="ARN34" s="672"/>
      <c r="ARO34" s="672"/>
      <c r="ARP34" s="672"/>
      <c r="ARQ34" s="672"/>
      <c r="ARR34" s="672"/>
      <c r="ARS34" s="672"/>
      <c r="ART34" s="672"/>
      <c r="ARU34" s="672"/>
      <c r="ARV34" s="672"/>
      <c r="ARW34" s="672"/>
      <c r="ARX34" s="672"/>
      <c r="ARY34" s="672"/>
      <c r="ARZ34" s="672"/>
      <c r="ASA34" s="672"/>
      <c r="ASB34" s="672"/>
      <c r="ASC34" s="672"/>
      <c r="ASD34" s="672"/>
      <c r="ASE34" s="672"/>
      <c r="ASF34" s="672"/>
      <c r="ASG34" s="672"/>
      <c r="ASH34" s="672"/>
      <c r="ASI34" s="672"/>
      <c r="ASJ34" s="672"/>
      <c r="ASK34" s="672"/>
      <c r="ASL34" s="672"/>
      <c r="ASM34" s="672"/>
      <c r="ASN34" s="672"/>
      <c r="ASO34" s="672"/>
      <c r="ASP34" s="672"/>
      <c r="ASQ34" s="672"/>
      <c r="ASR34" s="672"/>
      <c r="ASS34" s="672"/>
      <c r="AST34" s="672"/>
      <c r="ASU34" s="672"/>
      <c r="ASV34" s="672"/>
      <c r="ASW34" s="672"/>
      <c r="ASX34" s="672"/>
      <c r="ASY34" s="672"/>
      <c r="ASZ34" s="672"/>
      <c r="ATA34" s="672"/>
      <c r="ATB34" s="672"/>
      <c r="ATC34" s="672"/>
      <c r="ATD34" s="672"/>
      <c r="ATE34" s="672"/>
      <c r="ATF34" s="672"/>
      <c r="ATG34" s="672"/>
      <c r="ATH34" s="672"/>
      <c r="ATI34" s="672"/>
      <c r="ATJ34" s="672"/>
      <c r="ATK34" s="672"/>
      <c r="ATL34" s="672"/>
      <c r="ATM34" s="672"/>
      <c r="ATN34" s="672"/>
      <c r="ATO34" s="672"/>
      <c r="ATP34" s="672"/>
      <c r="ATQ34" s="672"/>
      <c r="ATR34" s="672"/>
      <c r="ATS34" s="672"/>
      <c r="ATT34" s="672"/>
      <c r="ATU34" s="672"/>
      <c r="ATV34" s="672"/>
      <c r="ATW34" s="672"/>
      <c r="ATX34" s="672"/>
      <c r="ATY34" s="672"/>
      <c r="ATZ34" s="672"/>
      <c r="AUA34" s="672"/>
      <c r="AUB34" s="672"/>
      <c r="AUC34" s="672"/>
      <c r="AUD34" s="672"/>
      <c r="AUE34" s="672"/>
      <c r="AUF34" s="672"/>
      <c r="AUG34" s="672"/>
      <c r="AUH34" s="672"/>
      <c r="AUI34" s="672"/>
      <c r="AUJ34" s="672"/>
      <c r="AUK34" s="672"/>
      <c r="AUL34" s="672"/>
      <c r="AUM34" s="672"/>
      <c r="AUN34" s="672"/>
      <c r="AUO34" s="672"/>
      <c r="AUP34" s="672"/>
      <c r="AUQ34" s="672"/>
      <c r="AUR34" s="672"/>
      <c r="AUS34" s="672"/>
      <c r="AUT34" s="672"/>
      <c r="AUU34" s="672"/>
      <c r="AUV34" s="672"/>
      <c r="AUW34" s="672"/>
      <c r="AUX34" s="672"/>
      <c r="AUY34" s="672"/>
      <c r="AUZ34" s="672"/>
      <c r="AVA34" s="672"/>
      <c r="AVB34" s="672"/>
      <c r="AVC34" s="672"/>
      <c r="AVD34" s="672"/>
      <c r="AVE34" s="672"/>
      <c r="AVF34" s="672"/>
      <c r="AVG34" s="672"/>
      <c r="AVH34" s="672"/>
      <c r="AVI34" s="672"/>
      <c r="AVJ34" s="672"/>
      <c r="AVK34" s="672"/>
      <c r="AVL34" s="672"/>
      <c r="AVM34" s="672"/>
      <c r="AVN34" s="672"/>
      <c r="AVO34" s="672"/>
      <c r="AVP34" s="672"/>
      <c r="AVQ34" s="672"/>
      <c r="AVR34" s="672"/>
      <c r="AVS34" s="672"/>
      <c r="AVT34" s="672"/>
      <c r="AVU34" s="672"/>
      <c r="AVV34" s="672"/>
      <c r="AVW34" s="672"/>
      <c r="AVX34" s="672"/>
      <c r="AVY34" s="672"/>
      <c r="AVZ34" s="672"/>
      <c r="AWA34" s="672"/>
      <c r="AWB34" s="672"/>
      <c r="AWC34" s="672"/>
      <c r="AWD34" s="672"/>
      <c r="AWE34" s="672"/>
      <c r="AWF34" s="672"/>
      <c r="AWG34" s="672"/>
      <c r="AWH34" s="672"/>
      <c r="AWI34" s="672"/>
      <c r="AWJ34" s="672"/>
      <c r="AWK34" s="672"/>
      <c r="AWL34" s="672"/>
      <c r="AWM34" s="672"/>
      <c r="AWN34" s="672"/>
      <c r="AWO34" s="672"/>
      <c r="AWP34" s="672"/>
      <c r="AWQ34" s="672"/>
      <c r="AWR34" s="672"/>
      <c r="AWS34" s="672"/>
      <c r="AWT34" s="672"/>
      <c r="AWU34" s="672"/>
      <c r="AWV34" s="672"/>
      <c r="AWW34" s="672"/>
      <c r="AWX34" s="672"/>
      <c r="AWY34" s="672"/>
      <c r="AWZ34" s="672"/>
      <c r="AXA34" s="672"/>
      <c r="AXB34" s="672"/>
      <c r="AXC34" s="672"/>
      <c r="AXD34" s="672"/>
      <c r="AXE34" s="672"/>
      <c r="AXF34" s="672"/>
      <c r="AXG34" s="672"/>
      <c r="AXH34" s="672"/>
      <c r="AXI34" s="672"/>
      <c r="AXJ34" s="672"/>
      <c r="AXK34" s="672"/>
      <c r="AXL34" s="672"/>
      <c r="AXM34" s="672"/>
      <c r="AXN34" s="672"/>
      <c r="AXO34" s="672"/>
      <c r="AXP34" s="672"/>
      <c r="AXQ34" s="672"/>
      <c r="AXR34" s="672"/>
      <c r="AXS34" s="672"/>
      <c r="AXT34" s="672"/>
      <c r="AXU34" s="672"/>
      <c r="AXV34" s="672"/>
      <c r="AXW34" s="672"/>
      <c r="AXX34" s="672"/>
      <c r="AXY34" s="672"/>
      <c r="AXZ34" s="672"/>
      <c r="AYA34" s="672"/>
      <c r="AYB34" s="672"/>
      <c r="AYC34" s="672"/>
      <c r="AYD34" s="672"/>
      <c r="AYE34" s="672"/>
      <c r="AYF34" s="672"/>
      <c r="AYG34" s="672"/>
      <c r="AYH34" s="672"/>
      <c r="AYI34" s="672"/>
      <c r="AYJ34" s="672"/>
      <c r="AYK34" s="672"/>
      <c r="AYL34" s="672"/>
      <c r="AYM34" s="672"/>
      <c r="AYN34" s="672"/>
      <c r="AYO34" s="672"/>
      <c r="AYP34" s="672"/>
      <c r="AYQ34" s="672"/>
      <c r="AYR34" s="672"/>
      <c r="AYS34" s="672"/>
      <c r="AYT34" s="672"/>
      <c r="AYU34" s="672"/>
      <c r="AYV34" s="672"/>
      <c r="AYW34" s="672"/>
      <c r="AYX34" s="672"/>
      <c r="AYY34" s="672"/>
      <c r="AYZ34" s="672"/>
      <c r="AZA34" s="672"/>
      <c r="AZB34" s="672"/>
      <c r="AZC34" s="672"/>
      <c r="AZD34" s="672"/>
      <c r="AZE34" s="672"/>
      <c r="AZF34" s="672"/>
      <c r="AZG34" s="672"/>
      <c r="AZH34" s="672"/>
      <c r="AZI34" s="672"/>
      <c r="AZJ34" s="672"/>
      <c r="AZK34" s="672"/>
      <c r="AZL34" s="672"/>
      <c r="AZM34" s="672"/>
      <c r="AZN34" s="672"/>
      <c r="AZO34" s="672"/>
      <c r="AZP34" s="672"/>
      <c r="AZQ34" s="672"/>
      <c r="AZR34" s="672"/>
      <c r="AZS34" s="672"/>
      <c r="AZT34" s="672"/>
      <c r="AZU34" s="672"/>
      <c r="AZV34" s="672"/>
      <c r="AZW34" s="672"/>
      <c r="AZX34" s="672"/>
      <c r="AZY34" s="672"/>
      <c r="AZZ34" s="672"/>
      <c r="BAA34" s="672"/>
      <c r="BAB34" s="672"/>
      <c r="BAC34" s="672"/>
      <c r="BAD34" s="672"/>
      <c r="BAE34" s="672"/>
      <c r="BAF34" s="672"/>
      <c r="BAG34" s="672"/>
      <c r="BAH34" s="672"/>
      <c r="BAI34" s="672"/>
      <c r="BAJ34" s="672"/>
      <c r="BAK34" s="672"/>
      <c r="BAL34" s="672"/>
      <c r="BAM34" s="672"/>
      <c r="BAN34" s="672"/>
      <c r="BAO34" s="672"/>
      <c r="BAP34" s="672"/>
      <c r="BAQ34" s="672"/>
      <c r="BAR34" s="672"/>
      <c r="BAS34" s="672"/>
      <c r="BAT34" s="672"/>
      <c r="BAU34" s="672"/>
      <c r="BAV34" s="672"/>
      <c r="BAW34" s="672"/>
      <c r="BAX34" s="672"/>
      <c r="BAY34" s="672"/>
      <c r="BAZ34" s="672"/>
      <c r="BBA34" s="672"/>
      <c r="BBB34" s="672"/>
      <c r="BBC34" s="672"/>
      <c r="BBD34" s="672"/>
      <c r="BBE34" s="672"/>
      <c r="BBF34" s="672"/>
      <c r="BBG34" s="672"/>
      <c r="BBH34" s="672"/>
      <c r="BBI34" s="672"/>
      <c r="BBJ34" s="672"/>
      <c r="BBK34" s="672"/>
      <c r="BBL34" s="672"/>
      <c r="BBM34" s="672"/>
      <c r="BBN34" s="672"/>
      <c r="BBO34" s="672"/>
      <c r="BBP34" s="672"/>
      <c r="BBQ34" s="672"/>
      <c r="BBR34" s="672"/>
      <c r="BBS34" s="672"/>
      <c r="BBT34" s="672"/>
      <c r="BBU34" s="672"/>
      <c r="BBV34" s="672"/>
      <c r="BBW34" s="672"/>
      <c r="BBX34" s="672"/>
      <c r="BBY34" s="672"/>
      <c r="BBZ34" s="672"/>
      <c r="BCA34" s="672"/>
      <c r="BCB34" s="672"/>
      <c r="BCC34" s="672"/>
      <c r="BCD34" s="672"/>
      <c r="BCE34" s="672"/>
      <c r="BCF34" s="672"/>
      <c r="BCG34" s="672"/>
      <c r="BCH34" s="672"/>
      <c r="BCI34" s="672"/>
      <c r="BCJ34" s="672"/>
      <c r="BCK34" s="672"/>
      <c r="BCL34" s="672"/>
      <c r="BCM34" s="672"/>
      <c r="BCN34" s="672"/>
      <c r="BCO34" s="672"/>
      <c r="BCP34" s="672"/>
      <c r="BCQ34" s="672"/>
      <c r="BCR34" s="672"/>
      <c r="BCS34" s="672"/>
      <c r="BCT34" s="672"/>
      <c r="BCU34" s="672"/>
      <c r="BCV34" s="672"/>
      <c r="BCW34" s="672"/>
      <c r="BCX34" s="672"/>
      <c r="BCY34" s="672"/>
      <c r="BCZ34" s="672"/>
      <c r="BDA34" s="672"/>
      <c r="BDB34" s="672"/>
      <c r="BDC34" s="672"/>
      <c r="BDD34" s="672"/>
      <c r="BDE34" s="672"/>
      <c r="BDF34" s="672"/>
      <c r="BDG34" s="672"/>
      <c r="BDH34" s="672"/>
      <c r="BDI34" s="672"/>
      <c r="BDJ34" s="672"/>
      <c r="BDK34" s="672"/>
      <c r="BDL34" s="672"/>
      <c r="BDM34" s="672"/>
      <c r="BDN34" s="672"/>
      <c r="BDO34" s="672"/>
      <c r="BDP34" s="672"/>
      <c r="BDQ34" s="672"/>
      <c r="BDR34" s="672"/>
      <c r="BDS34" s="672"/>
      <c r="BDT34" s="672"/>
      <c r="BDU34" s="672"/>
      <c r="BDV34" s="672"/>
      <c r="BDW34" s="672"/>
      <c r="BDX34" s="672"/>
      <c r="BDY34" s="672"/>
      <c r="BDZ34" s="672"/>
      <c r="BEA34" s="672"/>
      <c r="BEB34" s="672"/>
      <c r="BEC34" s="672"/>
      <c r="BED34" s="672"/>
      <c r="BEE34" s="672"/>
      <c r="BEF34" s="672"/>
      <c r="BEG34" s="672"/>
      <c r="BEH34" s="672"/>
      <c r="BEI34" s="672"/>
      <c r="BEJ34" s="672"/>
      <c r="BEK34" s="672"/>
      <c r="BEL34" s="672"/>
      <c r="BEM34" s="672"/>
      <c r="BEN34" s="672"/>
      <c r="BEO34" s="672"/>
      <c r="BEP34" s="672"/>
      <c r="BEQ34" s="672"/>
      <c r="BER34" s="672"/>
      <c r="BES34" s="672"/>
      <c r="BET34" s="672"/>
      <c r="BEU34" s="672"/>
      <c r="BEV34" s="672"/>
      <c r="BEW34" s="672"/>
      <c r="BEX34" s="672"/>
      <c r="BEY34" s="672"/>
      <c r="BEZ34" s="672"/>
      <c r="BFA34" s="672"/>
      <c r="BFB34" s="672"/>
      <c r="BFC34" s="672"/>
      <c r="BFD34" s="672"/>
      <c r="BFE34" s="672"/>
      <c r="BFF34" s="672"/>
      <c r="BFG34" s="672"/>
      <c r="BFH34" s="672"/>
      <c r="BFI34" s="672"/>
      <c r="BFJ34" s="672"/>
      <c r="BFK34" s="672"/>
      <c r="BFL34" s="672"/>
      <c r="BFM34" s="672"/>
      <c r="BFN34" s="672"/>
      <c r="BFO34" s="672"/>
      <c r="BFP34" s="672"/>
      <c r="BFQ34" s="672"/>
      <c r="BFR34" s="672"/>
      <c r="BFS34" s="672"/>
      <c r="BFT34" s="672"/>
      <c r="BFU34" s="672"/>
      <c r="BFV34" s="672"/>
      <c r="BFW34" s="672"/>
      <c r="BFX34" s="672"/>
      <c r="BFY34" s="672"/>
      <c r="BFZ34" s="672"/>
      <c r="BGA34" s="672"/>
      <c r="BGB34" s="672"/>
      <c r="BGC34" s="672"/>
      <c r="BGD34" s="672"/>
      <c r="BGE34" s="672"/>
      <c r="BGF34" s="672"/>
      <c r="BGG34" s="672"/>
      <c r="BGH34" s="672"/>
      <c r="BGI34" s="672"/>
      <c r="BGJ34" s="672"/>
      <c r="BGK34" s="672"/>
      <c r="BGL34" s="672"/>
      <c r="BGM34" s="672"/>
      <c r="BGN34" s="672"/>
      <c r="BGO34" s="672"/>
      <c r="BGP34" s="672"/>
      <c r="BGQ34" s="672"/>
      <c r="BGR34" s="672"/>
      <c r="BGS34" s="672"/>
      <c r="BGT34" s="672"/>
      <c r="BGU34" s="672"/>
      <c r="BGV34" s="672"/>
      <c r="BGW34" s="672"/>
      <c r="BGX34" s="672"/>
      <c r="BGY34" s="672"/>
      <c r="BGZ34" s="672"/>
      <c r="BHA34" s="672"/>
      <c r="BHB34" s="672"/>
      <c r="BHC34" s="672"/>
      <c r="BHD34" s="672"/>
      <c r="BHE34" s="672"/>
      <c r="BHF34" s="672"/>
      <c r="BHG34" s="672"/>
      <c r="BHH34" s="672"/>
      <c r="BHI34" s="672"/>
      <c r="BHJ34" s="672"/>
      <c r="BHK34" s="672"/>
      <c r="BHL34" s="672"/>
      <c r="BHM34" s="672"/>
      <c r="BHN34" s="672"/>
      <c r="BHO34" s="672"/>
      <c r="BHP34" s="672"/>
      <c r="BHQ34" s="672"/>
      <c r="BHR34" s="672"/>
      <c r="BHS34" s="672"/>
      <c r="BHT34" s="672"/>
      <c r="BHU34" s="672"/>
      <c r="BHV34" s="672"/>
      <c r="BHW34" s="672"/>
      <c r="BHX34" s="672"/>
      <c r="BHY34" s="672"/>
      <c r="BHZ34" s="672"/>
      <c r="BIA34" s="672"/>
      <c r="BIB34" s="672"/>
      <c r="BIC34" s="672"/>
      <c r="BID34" s="672"/>
      <c r="BIE34" s="672"/>
      <c r="BIF34" s="672"/>
      <c r="BIG34" s="672"/>
      <c r="BIH34" s="672"/>
      <c r="BII34" s="672"/>
      <c r="BIJ34" s="672"/>
      <c r="BIK34" s="672"/>
      <c r="BIL34" s="672"/>
      <c r="BIM34" s="672"/>
      <c r="BIN34" s="672"/>
      <c r="BIO34" s="672"/>
      <c r="BIP34" s="672"/>
      <c r="BIQ34" s="672"/>
      <c r="BIR34" s="672"/>
      <c r="BIS34" s="672"/>
      <c r="BIT34" s="672"/>
      <c r="BIU34" s="672"/>
      <c r="BIV34" s="672"/>
      <c r="BIW34" s="672"/>
      <c r="BIX34" s="672"/>
      <c r="BIY34" s="672"/>
      <c r="BIZ34" s="672"/>
      <c r="BJA34" s="672"/>
      <c r="BJB34" s="672"/>
      <c r="BJC34" s="672"/>
      <c r="BJD34" s="672"/>
      <c r="BJE34" s="672"/>
      <c r="BJF34" s="672"/>
      <c r="BJG34" s="672"/>
      <c r="BJH34" s="672"/>
      <c r="BJI34" s="672"/>
      <c r="BJJ34" s="672"/>
      <c r="BJK34" s="672"/>
      <c r="BJL34" s="672"/>
      <c r="BJM34" s="672"/>
      <c r="BJN34" s="672"/>
      <c r="BJO34" s="672"/>
      <c r="BJP34" s="672"/>
      <c r="BJQ34" s="672"/>
      <c r="BJR34" s="672"/>
      <c r="BJS34" s="672"/>
      <c r="BJT34" s="672"/>
      <c r="BJU34" s="672"/>
      <c r="BJV34" s="672"/>
      <c r="BJW34" s="672"/>
      <c r="BJX34" s="672"/>
      <c r="BJY34" s="672"/>
      <c r="BJZ34" s="672"/>
      <c r="BKA34" s="672"/>
      <c r="BKB34" s="672"/>
      <c r="BKC34" s="672"/>
      <c r="BKD34" s="672"/>
      <c r="BKE34" s="672"/>
      <c r="BKF34" s="672"/>
      <c r="BKG34" s="672"/>
      <c r="BKH34" s="672"/>
      <c r="BKI34" s="672"/>
      <c r="BKJ34" s="672"/>
      <c r="BKK34" s="672"/>
      <c r="BKL34" s="672"/>
      <c r="BKM34" s="672"/>
      <c r="BKN34" s="672"/>
      <c r="BKO34" s="672"/>
      <c r="BKP34" s="672"/>
      <c r="BKQ34" s="672"/>
      <c r="BKR34" s="672"/>
      <c r="BKS34" s="672"/>
      <c r="BKT34" s="672"/>
      <c r="BKU34" s="672"/>
      <c r="BKV34" s="672"/>
      <c r="BKW34" s="672"/>
      <c r="BKX34" s="672"/>
      <c r="BKY34" s="672"/>
      <c r="BKZ34" s="672"/>
      <c r="BLA34" s="672"/>
      <c r="BLB34" s="672"/>
      <c r="BLC34" s="672"/>
      <c r="BLD34" s="672"/>
      <c r="BLE34" s="672"/>
      <c r="BLF34" s="672"/>
      <c r="BLG34" s="672"/>
      <c r="BLH34" s="672"/>
      <c r="BLI34" s="672"/>
      <c r="BLJ34" s="672"/>
      <c r="BLK34" s="672"/>
      <c r="BLL34" s="672"/>
      <c r="BLM34" s="672"/>
      <c r="BLN34" s="672"/>
      <c r="BLO34" s="672"/>
      <c r="BLP34" s="672"/>
      <c r="BLQ34" s="672"/>
      <c r="BLR34" s="672"/>
      <c r="BLS34" s="672"/>
      <c r="BLT34" s="672"/>
      <c r="BLU34" s="672"/>
      <c r="BLV34" s="672"/>
      <c r="BLW34" s="672"/>
      <c r="BLX34" s="672"/>
      <c r="BLY34" s="672"/>
      <c r="BLZ34" s="672"/>
      <c r="BMA34" s="672"/>
      <c r="BMB34" s="672"/>
      <c r="BMC34" s="672"/>
      <c r="BMD34" s="672"/>
      <c r="BME34" s="672"/>
      <c r="BMF34" s="672"/>
      <c r="BMG34" s="672"/>
      <c r="BMH34" s="672"/>
      <c r="BMI34" s="672"/>
      <c r="BMJ34" s="672"/>
      <c r="BMK34" s="672"/>
      <c r="BML34" s="672"/>
      <c r="BMM34" s="672"/>
      <c r="BMN34" s="672"/>
      <c r="BMO34" s="672"/>
      <c r="BMP34" s="672"/>
      <c r="BMQ34" s="672"/>
      <c r="BMR34" s="672"/>
      <c r="BMS34" s="672"/>
      <c r="BMT34" s="672"/>
      <c r="BMU34" s="672"/>
      <c r="BMV34" s="672"/>
      <c r="BMW34" s="672"/>
      <c r="BMX34" s="672"/>
      <c r="BMY34" s="672"/>
      <c r="BMZ34" s="672"/>
      <c r="BNA34" s="672"/>
      <c r="BNB34" s="672"/>
      <c r="BNC34" s="672"/>
      <c r="BND34" s="672"/>
      <c r="BNE34" s="672"/>
      <c r="BNF34" s="672"/>
      <c r="BNG34" s="672"/>
      <c r="BNH34" s="672"/>
      <c r="BNI34" s="672"/>
      <c r="BNJ34" s="672"/>
      <c r="BNK34" s="672"/>
      <c r="BNL34" s="672"/>
      <c r="BNM34" s="672"/>
      <c r="BNN34" s="672"/>
      <c r="BNO34" s="672"/>
      <c r="BNP34" s="672"/>
      <c r="BNQ34" s="672"/>
      <c r="BNR34" s="672"/>
      <c r="BNS34" s="672"/>
      <c r="BNT34" s="672"/>
      <c r="BNU34" s="672"/>
      <c r="BNV34" s="672"/>
      <c r="BNW34" s="672"/>
      <c r="BNX34" s="672"/>
      <c r="BNY34" s="672"/>
      <c r="BNZ34" s="672"/>
      <c r="BOA34" s="672"/>
      <c r="BOB34" s="672"/>
      <c r="BOC34" s="672"/>
      <c r="BOD34" s="672"/>
      <c r="BOE34" s="672"/>
      <c r="BOF34" s="672"/>
      <c r="BOG34" s="672"/>
      <c r="BOH34" s="672"/>
      <c r="BOI34" s="672"/>
      <c r="BOJ34" s="672"/>
      <c r="BOK34" s="672"/>
      <c r="BOL34" s="672"/>
      <c r="BOM34" s="672"/>
      <c r="BON34" s="672"/>
      <c r="BOO34" s="672"/>
      <c r="BOP34" s="672"/>
      <c r="BOQ34" s="672"/>
      <c r="BOR34" s="672"/>
      <c r="BOS34" s="672"/>
      <c r="BOT34" s="672"/>
      <c r="BOU34" s="672"/>
      <c r="BOV34" s="672"/>
      <c r="BOW34" s="672"/>
      <c r="BOX34" s="672"/>
      <c r="BOY34" s="672"/>
      <c r="BOZ34" s="672"/>
      <c r="BPA34" s="672"/>
      <c r="BPB34" s="672"/>
      <c r="BPC34" s="672"/>
      <c r="BPD34" s="672"/>
      <c r="BPE34" s="672"/>
      <c r="BPF34" s="672"/>
      <c r="BPG34" s="672"/>
      <c r="BPH34" s="672"/>
      <c r="BPI34" s="672"/>
      <c r="BPJ34" s="672"/>
      <c r="BPK34" s="672"/>
      <c r="BPL34" s="672"/>
      <c r="BPM34" s="672"/>
      <c r="BPN34" s="672"/>
      <c r="BPO34" s="672"/>
      <c r="BPP34" s="672"/>
      <c r="BPQ34" s="672"/>
      <c r="BPR34" s="672"/>
      <c r="BPS34" s="672"/>
      <c r="BPT34" s="672"/>
      <c r="BPU34" s="672"/>
      <c r="BPV34" s="672"/>
      <c r="BPW34" s="672"/>
      <c r="BPX34" s="672"/>
      <c r="BPY34" s="672"/>
      <c r="BPZ34" s="672"/>
      <c r="BQA34" s="672"/>
      <c r="BQB34" s="672"/>
      <c r="BQC34" s="672"/>
      <c r="BQD34" s="672"/>
      <c r="BQE34" s="672"/>
      <c r="BQF34" s="672"/>
      <c r="BQG34" s="672"/>
      <c r="BQH34" s="672"/>
      <c r="BQI34" s="672"/>
      <c r="BQJ34" s="672"/>
      <c r="BQK34" s="672"/>
      <c r="BQL34" s="672"/>
      <c r="BQM34" s="672"/>
      <c r="BQN34" s="672"/>
      <c r="BQO34" s="672"/>
      <c r="BQP34" s="672"/>
      <c r="BQQ34" s="672"/>
      <c r="BQR34" s="672"/>
      <c r="BQS34" s="672"/>
      <c r="BQT34" s="672"/>
      <c r="BQU34" s="672"/>
      <c r="BQV34" s="672"/>
      <c r="BQW34" s="672"/>
      <c r="BQX34" s="672"/>
      <c r="BQY34" s="672"/>
      <c r="BQZ34" s="672"/>
      <c r="BRA34" s="672"/>
      <c r="BRB34" s="672"/>
      <c r="BRC34" s="672"/>
      <c r="BRD34" s="672"/>
      <c r="BRE34" s="672"/>
      <c r="BRF34" s="672"/>
      <c r="BRG34" s="672"/>
      <c r="BRH34" s="672"/>
      <c r="BRI34" s="672"/>
      <c r="BRJ34" s="672"/>
      <c r="BRK34" s="672"/>
      <c r="BRL34" s="672"/>
      <c r="BRM34" s="672"/>
      <c r="BRN34" s="672"/>
      <c r="BRO34" s="672"/>
      <c r="BRP34" s="672"/>
      <c r="BRQ34" s="672"/>
      <c r="BRR34" s="672"/>
      <c r="BRS34" s="672"/>
      <c r="BRT34" s="672"/>
      <c r="BRU34" s="672"/>
      <c r="BRV34" s="672"/>
      <c r="BRW34" s="672"/>
      <c r="BRX34" s="672"/>
      <c r="BRY34" s="672"/>
      <c r="BRZ34" s="672"/>
      <c r="BSA34" s="672"/>
      <c r="BSB34" s="672"/>
      <c r="BSC34" s="672"/>
      <c r="BSD34" s="672"/>
      <c r="BSE34" s="672"/>
      <c r="BSF34" s="672"/>
      <c r="BSG34" s="672"/>
      <c r="BSH34" s="672"/>
      <c r="BSI34" s="672"/>
      <c r="BSJ34" s="672"/>
      <c r="BSK34" s="672"/>
      <c r="BSL34" s="672"/>
      <c r="BSM34" s="672"/>
      <c r="BSN34" s="672"/>
      <c r="BSO34" s="672"/>
      <c r="BSP34" s="672"/>
      <c r="BSQ34" s="672"/>
      <c r="BSR34" s="672"/>
      <c r="BSS34" s="672"/>
      <c r="BST34" s="672"/>
      <c r="BSU34" s="672"/>
      <c r="BSV34" s="672"/>
      <c r="BSW34" s="672"/>
      <c r="BSX34" s="672"/>
      <c r="BSY34" s="672"/>
      <c r="BSZ34" s="672"/>
      <c r="BTA34" s="672"/>
      <c r="BTB34" s="672"/>
      <c r="BTC34" s="672"/>
      <c r="BTD34" s="672"/>
      <c r="BTE34" s="672"/>
      <c r="BTF34" s="672"/>
      <c r="BTG34" s="672"/>
      <c r="BTH34" s="672"/>
      <c r="BTI34" s="672"/>
      <c r="BTJ34" s="672"/>
      <c r="BTK34" s="672"/>
      <c r="BTL34" s="672"/>
      <c r="BTM34" s="672"/>
      <c r="BTN34" s="672"/>
      <c r="BTO34" s="672"/>
      <c r="BTP34" s="672"/>
      <c r="BTQ34" s="672"/>
      <c r="BTR34" s="672"/>
      <c r="BTS34" s="672"/>
      <c r="BTT34" s="672"/>
      <c r="BTU34" s="672"/>
      <c r="BTV34" s="672"/>
      <c r="BTW34" s="672"/>
      <c r="BTX34" s="672"/>
      <c r="BTY34" s="672"/>
      <c r="BTZ34" s="672"/>
      <c r="BUA34" s="672"/>
      <c r="BUB34" s="672"/>
      <c r="BUC34" s="672"/>
      <c r="BUD34" s="672"/>
      <c r="BUE34" s="672"/>
      <c r="BUF34" s="672"/>
      <c r="BUG34" s="672"/>
      <c r="BUH34" s="672"/>
      <c r="BUI34" s="672"/>
      <c r="BUJ34" s="672"/>
      <c r="BUK34" s="672"/>
      <c r="BUL34" s="672"/>
      <c r="BUM34" s="672"/>
      <c r="BUN34" s="672"/>
      <c r="BUO34" s="672"/>
      <c r="BUP34" s="672"/>
      <c r="BUQ34" s="672"/>
      <c r="BUR34" s="672"/>
      <c r="BUS34" s="672"/>
      <c r="BUT34" s="672"/>
      <c r="BUU34" s="672"/>
      <c r="BUV34" s="672"/>
      <c r="BUW34" s="672"/>
      <c r="BUX34" s="672"/>
      <c r="BUY34" s="672"/>
      <c r="BUZ34" s="672"/>
      <c r="BVA34" s="672"/>
      <c r="BVB34" s="672"/>
      <c r="BVC34" s="672"/>
      <c r="BVD34" s="672"/>
      <c r="BVE34" s="672"/>
      <c r="BVF34" s="672"/>
      <c r="BVG34" s="672"/>
      <c r="BVH34" s="672"/>
      <c r="BVI34" s="672"/>
      <c r="BVJ34" s="672"/>
      <c r="BVK34" s="672"/>
      <c r="BVL34" s="672"/>
      <c r="BVM34" s="672"/>
      <c r="BVN34" s="672"/>
      <c r="BVO34" s="672"/>
      <c r="BVP34" s="672"/>
      <c r="BVQ34" s="672"/>
      <c r="BVR34" s="672"/>
      <c r="BVS34" s="672"/>
      <c r="BVT34" s="672"/>
      <c r="BVU34" s="672"/>
      <c r="BVV34" s="672"/>
      <c r="BVW34" s="672"/>
      <c r="BVX34" s="672"/>
      <c r="BVY34" s="672"/>
      <c r="BVZ34" s="672"/>
      <c r="BWA34" s="672"/>
      <c r="BWB34" s="672"/>
      <c r="BWC34" s="672"/>
      <c r="BWD34" s="672"/>
      <c r="BWE34" s="672"/>
      <c r="BWF34" s="672"/>
      <c r="BWG34" s="672"/>
      <c r="BWH34" s="672"/>
      <c r="BWI34" s="672"/>
      <c r="BWJ34" s="672"/>
      <c r="BWK34" s="672"/>
      <c r="BWL34" s="672"/>
      <c r="BWM34" s="672"/>
      <c r="BWN34" s="672"/>
      <c r="BWO34" s="672"/>
      <c r="BWP34" s="672"/>
      <c r="BWQ34" s="672"/>
      <c r="BWR34" s="672"/>
      <c r="BWS34" s="672"/>
      <c r="BWT34" s="672"/>
      <c r="BWU34" s="672"/>
      <c r="BWV34" s="672"/>
      <c r="BWW34" s="672"/>
      <c r="BWX34" s="672"/>
      <c r="BWY34" s="672"/>
      <c r="BWZ34" s="672"/>
      <c r="BXA34" s="672"/>
      <c r="BXB34" s="672"/>
      <c r="BXC34" s="672"/>
      <c r="BXD34" s="672"/>
      <c r="BXE34" s="672"/>
      <c r="BXF34" s="672"/>
      <c r="BXG34" s="672"/>
      <c r="BXH34" s="672"/>
      <c r="BXI34" s="672"/>
      <c r="BXJ34" s="672"/>
      <c r="BXK34" s="672"/>
      <c r="BXL34" s="672"/>
      <c r="BXM34" s="672"/>
      <c r="BXN34" s="672"/>
      <c r="BXO34" s="672"/>
      <c r="BXP34" s="672"/>
      <c r="BXQ34" s="672"/>
      <c r="BXR34" s="672"/>
      <c r="BXS34" s="672"/>
      <c r="BXT34" s="672"/>
      <c r="BXU34" s="672"/>
      <c r="BXV34" s="672"/>
      <c r="BXW34" s="672"/>
      <c r="BXX34" s="672"/>
      <c r="BXY34" s="672"/>
      <c r="BXZ34" s="672"/>
      <c r="BYA34" s="672"/>
      <c r="BYB34" s="672"/>
      <c r="BYC34" s="672"/>
      <c r="BYD34" s="672"/>
      <c r="BYE34" s="672"/>
      <c r="BYF34" s="672"/>
      <c r="BYG34" s="672"/>
      <c r="BYH34" s="672"/>
      <c r="BYI34" s="672"/>
      <c r="BYJ34" s="672"/>
      <c r="BYK34" s="672"/>
      <c r="BYL34" s="672"/>
      <c r="BYM34" s="672"/>
      <c r="BYN34" s="672"/>
      <c r="BYO34" s="672"/>
      <c r="BYP34" s="672"/>
      <c r="BYQ34" s="672"/>
      <c r="BYR34" s="672"/>
      <c r="BYS34" s="672"/>
      <c r="BYT34" s="672"/>
      <c r="BYU34" s="672"/>
      <c r="BYV34" s="672"/>
      <c r="BYW34" s="672"/>
      <c r="BYX34" s="672"/>
      <c r="BYY34" s="672"/>
      <c r="BYZ34" s="672"/>
      <c r="BZA34" s="672"/>
      <c r="BZB34" s="672"/>
      <c r="BZC34" s="672"/>
      <c r="BZD34" s="672"/>
      <c r="BZE34" s="672"/>
      <c r="BZF34" s="672"/>
      <c r="BZG34" s="672"/>
      <c r="BZH34" s="672"/>
      <c r="BZI34" s="672"/>
      <c r="BZJ34" s="672"/>
      <c r="BZK34" s="672"/>
      <c r="BZL34" s="672"/>
      <c r="BZM34" s="672"/>
      <c r="BZN34" s="672"/>
      <c r="BZO34" s="672"/>
      <c r="BZP34" s="672"/>
      <c r="BZQ34" s="672"/>
      <c r="BZR34" s="672"/>
      <c r="BZS34" s="672"/>
      <c r="BZT34" s="672"/>
      <c r="BZU34" s="672"/>
      <c r="BZV34" s="672"/>
      <c r="BZW34" s="672"/>
      <c r="BZX34" s="672"/>
      <c r="BZY34" s="672"/>
      <c r="BZZ34" s="672"/>
      <c r="CAA34" s="672"/>
      <c r="CAB34" s="672"/>
      <c r="CAC34" s="672"/>
      <c r="CAD34" s="672"/>
      <c r="CAE34" s="672"/>
      <c r="CAF34" s="672"/>
      <c r="CAG34" s="672"/>
      <c r="CAH34" s="672"/>
      <c r="CAI34" s="672"/>
      <c r="CAJ34" s="672"/>
      <c r="CAK34" s="672"/>
      <c r="CAL34" s="672"/>
      <c r="CAM34" s="672"/>
      <c r="CAN34" s="672"/>
      <c r="CAO34" s="672"/>
      <c r="CAP34" s="672"/>
      <c r="CAQ34" s="672"/>
      <c r="CAR34" s="672"/>
      <c r="CAS34" s="672"/>
      <c r="CAT34" s="672"/>
      <c r="CAU34" s="672"/>
      <c r="CAV34" s="672"/>
      <c r="CAW34" s="672"/>
      <c r="CAX34" s="672"/>
      <c r="CAY34" s="672"/>
      <c r="CAZ34" s="672"/>
      <c r="CBA34" s="672"/>
      <c r="CBB34" s="672"/>
      <c r="CBC34" s="672"/>
      <c r="CBD34" s="672"/>
      <c r="CBE34" s="672"/>
      <c r="CBF34" s="672"/>
      <c r="CBG34" s="672"/>
      <c r="CBH34" s="672"/>
      <c r="CBI34" s="672"/>
      <c r="CBJ34" s="672"/>
      <c r="CBK34" s="672"/>
      <c r="CBL34" s="672"/>
      <c r="CBM34" s="672"/>
      <c r="CBN34" s="672"/>
      <c r="CBO34" s="672"/>
      <c r="CBP34" s="672"/>
      <c r="CBQ34" s="672"/>
      <c r="CBR34" s="672"/>
      <c r="CBS34" s="672"/>
      <c r="CBT34" s="672"/>
      <c r="CBU34" s="672"/>
      <c r="CBV34" s="672"/>
      <c r="CBW34" s="672"/>
      <c r="CBX34" s="672"/>
      <c r="CBY34" s="672"/>
      <c r="CBZ34" s="672"/>
      <c r="CCA34" s="672"/>
      <c r="CCB34" s="672"/>
      <c r="CCC34" s="672"/>
      <c r="CCD34" s="672"/>
      <c r="CCE34" s="672"/>
      <c r="CCF34" s="672"/>
      <c r="CCG34" s="672"/>
      <c r="CCH34" s="672"/>
      <c r="CCI34" s="672"/>
      <c r="CCJ34" s="672"/>
      <c r="CCK34" s="672"/>
      <c r="CCL34" s="672"/>
      <c r="CCM34" s="672"/>
      <c r="CCN34" s="672"/>
      <c r="CCO34" s="672"/>
      <c r="CCP34" s="672"/>
      <c r="CCQ34" s="672"/>
      <c r="CCR34" s="672"/>
      <c r="CCS34" s="672"/>
      <c r="CCT34" s="672"/>
      <c r="CCU34" s="672"/>
      <c r="CCV34" s="672"/>
      <c r="CCW34" s="672"/>
      <c r="CCX34" s="672"/>
      <c r="CCY34" s="672"/>
      <c r="CCZ34" s="672"/>
      <c r="CDA34" s="672"/>
      <c r="CDB34" s="672"/>
      <c r="CDC34" s="672"/>
      <c r="CDD34" s="672"/>
      <c r="CDE34" s="672"/>
      <c r="CDF34" s="672"/>
      <c r="CDG34" s="672"/>
      <c r="CDH34" s="672"/>
      <c r="CDI34" s="672"/>
      <c r="CDJ34" s="672"/>
      <c r="CDK34" s="672"/>
      <c r="CDL34" s="672"/>
      <c r="CDM34" s="672"/>
      <c r="CDN34" s="672"/>
      <c r="CDO34" s="672"/>
      <c r="CDP34" s="672"/>
      <c r="CDQ34" s="672"/>
      <c r="CDR34" s="672"/>
      <c r="CDS34" s="672"/>
      <c r="CDT34" s="672"/>
      <c r="CDU34" s="672"/>
      <c r="CDV34" s="672"/>
      <c r="CDW34" s="672"/>
      <c r="CDX34" s="672"/>
      <c r="CDY34" s="672"/>
      <c r="CDZ34" s="672"/>
      <c r="CEA34" s="672"/>
      <c r="CEB34" s="672"/>
      <c r="CEC34" s="672"/>
      <c r="CED34" s="672"/>
      <c r="CEE34" s="672"/>
      <c r="CEF34" s="672"/>
      <c r="CEG34" s="672"/>
      <c r="CEH34" s="672"/>
      <c r="CEI34" s="672"/>
      <c r="CEJ34" s="672"/>
      <c r="CEK34" s="672"/>
      <c r="CEL34" s="672"/>
      <c r="CEM34" s="672"/>
      <c r="CEN34" s="672"/>
      <c r="CEO34" s="672"/>
      <c r="CEP34" s="672"/>
      <c r="CEQ34" s="672"/>
      <c r="CER34" s="672"/>
      <c r="CES34" s="672"/>
      <c r="CET34" s="672"/>
      <c r="CEU34" s="672"/>
      <c r="CEV34" s="672"/>
      <c r="CEW34" s="672"/>
      <c r="CEX34" s="672"/>
      <c r="CEY34" s="672"/>
      <c r="CEZ34" s="672"/>
      <c r="CFA34" s="672"/>
      <c r="CFB34" s="672"/>
      <c r="CFC34" s="672"/>
      <c r="CFD34" s="672"/>
      <c r="CFE34" s="672"/>
      <c r="CFF34" s="672"/>
      <c r="CFG34" s="672"/>
      <c r="CFH34" s="672"/>
      <c r="CFI34" s="672"/>
      <c r="CFJ34" s="672"/>
      <c r="CFK34" s="672"/>
      <c r="CFL34" s="672"/>
      <c r="CFM34" s="672"/>
      <c r="CFN34" s="672"/>
      <c r="CFO34" s="672"/>
      <c r="CFP34" s="672"/>
      <c r="CFQ34" s="672"/>
      <c r="CFR34" s="672"/>
      <c r="CFS34" s="672"/>
      <c r="CFT34" s="672"/>
      <c r="CFU34" s="672"/>
      <c r="CFV34" s="672"/>
      <c r="CFW34" s="672"/>
      <c r="CFX34" s="672"/>
      <c r="CFY34" s="672"/>
      <c r="CFZ34" s="672"/>
      <c r="CGA34" s="672"/>
      <c r="CGB34" s="672"/>
      <c r="CGC34" s="672"/>
      <c r="CGD34" s="672"/>
      <c r="CGE34" s="672"/>
      <c r="CGF34" s="672"/>
      <c r="CGG34" s="672"/>
      <c r="CGH34" s="672"/>
      <c r="CGI34" s="672"/>
      <c r="CGJ34" s="672"/>
      <c r="CGK34" s="672"/>
      <c r="CGL34" s="672"/>
      <c r="CGM34" s="672"/>
      <c r="CGN34" s="672"/>
      <c r="CGO34" s="672"/>
      <c r="CGP34" s="672"/>
      <c r="CGQ34" s="672"/>
      <c r="CGR34" s="672"/>
      <c r="CGS34" s="672"/>
      <c r="CGT34" s="672"/>
      <c r="CGU34" s="672"/>
      <c r="CGV34" s="672"/>
      <c r="CGW34" s="672"/>
      <c r="CGX34" s="672"/>
      <c r="CGY34" s="672"/>
      <c r="CGZ34" s="672"/>
      <c r="CHA34" s="672"/>
      <c r="CHB34" s="672"/>
      <c r="CHC34" s="672"/>
      <c r="CHD34" s="672"/>
      <c r="CHE34" s="672"/>
      <c r="CHF34" s="672"/>
      <c r="CHG34" s="672"/>
      <c r="CHH34" s="672"/>
      <c r="CHI34" s="672"/>
      <c r="CHJ34" s="672"/>
      <c r="CHK34" s="672"/>
      <c r="CHL34" s="672"/>
      <c r="CHM34" s="672"/>
      <c r="CHN34" s="672"/>
      <c r="CHO34" s="672"/>
      <c r="CHP34" s="672"/>
      <c r="CHQ34" s="672"/>
      <c r="CHR34" s="672"/>
      <c r="CHS34" s="672"/>
      <c r="CHT34" s="672"/>
      <c r="CHU34" s="672"/>
      <c r="CHV34" s="672"/>
      <c r="CHW34" s="672"/>
      <c r="CHX34" s="672"/>
      <c r="CHY34" s="672"/>
      <c r="CHZ34" s="672"/>
      <c r="CIA34" s="672"/>
      <c r="CIB34" s="672"/>
      <c r="CIC34" s="672"/>
      <c r="CID34" s="672"/>
      <c r="CIE34" s="672"/>
      <c r="CIF34" s="672"/>
      <c r="CIG34" s="672"/>
      <c r="CIH34" s="672"/>
      <c r="CII34" s="672"/>
      <c r="CIJ34" s="672"/>
      <c r="CIK34" s="672"/>
      <c r="CIL34" s="672"/>
      <c r="CIM34" s="672"/>
      <c r="CIN34" s="672"/>
      <c r="CIO34" s="672"/>
      <c r="CIP34" s="672"/>
      <c r="CIQ34" s="672"/>
      <c r="CIR34" s="672"/>
      <c r="CIS34" s="672"/>
      <c r="CIT34" s="672"/>
      <c r="CIU34" s="672"/>
      <c r="CIV34" s="672"/>
      <c r="CIW34" s="672"/>
      <c r="CIX34" s="672"/>
      <c r="CIY34" s="672"/>
      <c r="CIZ34" s="672"/>
      <c r="CJA34" s="672"/>
      <c r="CJB34" s="672"/>
      <c r="CJC34" s="672"/>
      <c r="CJD34" s="672"/>
      <c r="CJE34" s="672"/>
      <c r="CJF34" s="672"/>
      <c r="CJG34" s="672"/>
      <c r="CJH34" s="672"/>
      <c r="CJI34" s="672"/>
      <c r="CJJ34" s="672"/>
      <c r="CJK34" s="672"/>
      <c r="CJL34" s="672"/>
      <c r="CJM34" s="672"/>
      <c r="CJN34" s="672"/>
      <c r="CJO34" s="672"/>
      <c r="CJP34" s="672"/>
      <c r="CJQ34" s="672"/>
      <c r="CJR34" s="672"/>
      <c r="CJS34" s="672"/>
      <c r="CJT34" s="672"/>
      <c r="CJU34" s="672"/>
      <c r="CJV34" s="672"/>
      <c r="CJW34" s="672"/>
      <c r="CJX34" s="672"/>
      <c r="CJY34" s="672"/>
      <c r="CJZ34" s="672"/>
      <c r="CKA34" s="672"/>
      <c r="CKB34" s="672"/>
      <c r="CKC34" s="672"/>
      <c r="CKD34" s="672"/>
      <c r="CKE34" s="672"/>
      <c r="CKF34" s="672"/>
      <c r="CKG34" s="672"/>
      <c r="CKH34" s="672"/>
      <c r="CKI34" s="672"/>
      <c r="CKJ34" s="672"/>
      <c r="CKK34" s="672"/>
      <c r="CKL34" s="672"/>
      <c r="CKM34" s="672"/>
      <c r="CKN34" s="672"/>
      <c r="CKO34" s="672"/>
      <c r="CKP34" s="672"/>
      <c r="CKQ34" s="672"/>
      <c r="CKR34" s="672"/>
      <c r="CKS34" s="672"/>
      <c r="CKT34" s="672"/>
      <c r="CKU34" s="672"/>
      <c r="CKV34" s="672"/>
      <c r="CKW34" s="672"/>
      <c r="CKX34" s="672"/>
      <c r="CKY34" s="672"/>
      <c r="CKZ34" s="672"/>
      <c r="CLA34" s="672"/>
      <c r="CLB34" s="672"/>
      <c r="CLC34" s="672"/>
      <c r="CLD34" s="672"/>
      <c r="CLE34" s="672"/>
      <c r="CLF34" s="672"/>
      <c r="CLG34" s="672"/>
      <c r="CLH34" s="672"/>
      <c r="CLI34" s="672"/>
      <c r="CLJ34" s="672"/>
      <c r="CLK34" s="672"/>
      <c r="CLL34" s="672"/>
      <c r="CLM34" s="672"/>
      <c r="CLN34" s="672"/>
      <c r="CLO34" s="672"/>
      <c r="CLP34" s="672"/>
      <c r="CLQ34" s="672"/>
      <c r="CLR34" s="672"/>
      <c r="CLS34" s="672"/>
      <c r="CLT34" s="672"/>
      <c r="CLU34" s="672"/>
      <c r="CLV34" s="672"/>
      <c r="CLW34" s="672"/>
      <c r="CLX34" s="672"/>
      <c r="CLY34" s="672"/>
      <c r="CLZ34" s="672"/>
      <c r="CMA34" s="672"/>
      <c r="CMB34" s="672"/>
      <c r="CMC34" s="672"/>
      <c r="CMD34" s="672"/>
      <c r="CME34" s="672"/>
      <c r="CMF34" s="672"/>
      <c r="CMG34" s="672"/>
      <c r="CMH34" s="672"/>
      <c r="CMI34" s="672"/>
      <c r="CMJ34" s="672"/>
      <c r="CMK34" s="672"/>
      <c r="CML34" s="672"/>
      <c r="CMM34" s="672"/>
      <c r="CMN34" s="672"/>
      <c r="CMO34" s="672"/>
      <c r="CMP34" s="672"/>
      <c r="CMQ34" s="672"/>
      <c r="CMR34" s="672"/>
      <c r="CMS34" s="672"/>
      <c r="CMT34" s="672"/>
      <c r="CMU34" s="672"/>
      <c r="CMV34" s="672"/>
      <c r="CMW34" s="672"/>
      <c r="CMX34" s="672"/>
      <c r="CMY34" s="672"/>
      <c r="CMZ34" s="672"/>
      <c r="CNA34" s="672"/>
      <c r="CNB34" s="672"/>
      <c r="CNC34" s="672"/>
      <c r="CND34" s="672"/>
      <c r="CNE34" s="672"/>
      <c r="CNF34" s="672"/>
      <c r="CNG34" s="672"/>
      <c r="CNH34" s="672"/>
      <c r="CNI34" s="672"/>
      <c r="CNJ34" s="672"/>
      <c r="CNK34" s="672"/>
      <c r="CNL34" s="672"/>
      <c r="CNM34" s="672"/>
      <c r="CNN34" s="672"/>
      <c r="CNO34" s="672"/>
      <c r="CNP34" s="672"/>
      <c r="CNQ34" s="672"/>
      <c r="CNR34" s="672"/>
      <c r="CNS34" s="672"/>
      <c r="CNT34" s="672"/>
      <c r="CNU34" s="672"/>
      <c r="CNV34" s="672"/>
      <c r="CNW34" s="672"/>
      <c r="CNX34" s="672"/>
      <c r="CNY34" s="672"/>
      <c r="CNZ34" s="672"/>
      <c r="COA34" s="672"/>
      <c r="COB34" s="672"/>
      <c r="COC34" s="672"/>
      <c r="COD34" s="672"/>
      <c r="COE34" s="672"/>
      <c r="COF34" s="672"/>
      <c r="COG34" s="672"/>
      <c r="COH34" s="672"/>
      <c r="COI34" s="672"/>
      <c r="COJ34" s="672"/>
      <c r="COK34" s="672"/>
      <c r="COL34" s="672"/>
      <c r="COM34" s="672"/>
      <c r="CON34" s="672"/>
      <c r="COO34" s="672"/>
      <c r="COP34" s="672"/>
      <c r="COQ34" s="672"/>
      <c r="COR34" s="672"/>
      <c r="COS34" s="672"/>
      <c r="COT34" s="672"/>
      <c r="COU34" s="672"/>
      <c r="COV34" s="672"/>
      <c r="COW34" s="672"/>
      <c r="COX34" s="672"/>
      <c r="COY34" s="672"/>
      <c r="COZ34" s="672"/>
      <c r="CPA34" s="672"/>
      <c r="CPB34" s="672"/>
      <c r="CPC34" s="672"/>
      <c r="CPD34" s="672"/>
      <c r="CPE34" s="672"/>
      <c r="CPF34" s="672"/>
      <c r="CPG34" s="672"/>
      <c r="CPH34" s="672"/>
      <c r="CPI34" s="672"/>
      <c r="CPJ34" s="672"/>
      <c r="CPK34" s="672"/>
      <c r="CPL34" s="672"/>
      <c r="CPM34" s="672"/>
      <c r="CPN34" s="672"/>
      <c r="CPO34" s="672"/>
      <c r="CPP34" s="672"/>
      <c r="CPQ34" s="672"/>
      <c r="CPR34" s="672"/>
      <c r="CPS34" s="672"/>
      <c r="CPT34" s="672"/>
      <c r="CPU34" s="672"/>
      <c r="CPV34" s="672"/>
      <c r="CPW34" s="672"/>
      <c r="CPX34" s="672"/>
      <c r="CPY34" s="672"/>
      <c r="CPZ34" s="672"/>
      <c r="CQA34" s="672"/>
      <c r="CQB34" s="672"/>
      <c r="CQC34" s="672"/>
      <c r="CQD34" s="672"/>
      <c r="CQE34" s="672"/>
      <c r="CQF34" s="672"/>
      <c r="CQG34" s="672"/>
      <c r="CQH34" s="672"/>
      <c r="CQI34" s="672"/>
      <c r="CQJ34" s="672"/>
      <c r="CQK34" s="672"/>
      <c r="CQL34" s="672"/>
      <c r="CQM34" s="672"/>
      <c r="CQN34" s="672"/>
      <c r="CQO34" s="672"/>
      <c r="CQP34" s="672"/>
      <c r="CQQ34" s="672"/>
      <c r="CQR34" s="672"/>
      <c r="CQS34" s="672"/>
      <c r="CQT34" s="672"/>
      <c r="CQU34" s="672"/>
      <c r="CQV34" s="672"/>
      <c r="CQW34" s="672"/>
      <c r="CQX34" s="672"/>
      <c r="CQY34" s="672"/>
      <c r="CQZ34" s="672"/>
      <c r="CRA34" s="672"/>
      <c r="CRB34" s="672"/>
      <c r="CRC34" s="672"/>
      <c r="CRD34" s="672"/>
      <c r="CRE34" s="672"/>
      <c r="CRF34" s="672"/>
      <c r="CRG34" s="672"/>
      <c r="CRH34" s="672"/>
      <c r="CRI34" s="672"/>
      <c r="CRJ34" s="672"/>
      <c r="CRK34" s="672"/>
      <c r="CRL34" s="672"/>
      <c r="CRM34" s="672"/>
      <c r="CRN34" s="672"/>
      <c r="CRO34" s="672"/>
      <c r="CRP34" s="672"/>
      <c r="CRQ34" s="672"/>
      <c r="CRR34" s="672"/>
      <c r="CRS34" s="672"/>
      <c r="CRT34" s="672"/>
      <c r="CRU34" s="672"/>
      <c r="CRV34" s="672"/>
      <c r="CRW34" s="672"/>
      <c r="CRX34" s="672"/>
      <c r="CRY34" s="672"/>
      <c r="CRZ34" s="672"/>
      <c r="CSA34" s="672"/>
      <c r="CSB34" s="672"/>
      <c r="CSC34" s="672"/>
      <c r="CSD34" s="672"/>
      <c r="CSE34" s="672"/>
      <c r="CSF34" s="672"/>
      <c r="CSG34" s="672"/>
      <c r="CSH34" s="672"/>
      <c r="CSI34" s="672"/>
      <c r="CSJ34" s="672"/>
      <c r="CSK34" s="672"/>
      <c r="CSL34" s="672"/>
      <c r="CSM34" s="672"/>
      <c r="CSN34" s="672"/>
      <c r="CSO34" s="672"/>
      <c r="CSP34" s="672"/>
      <c r="CSQ34" s="672"/>
      <c r="CSR34" s="672"/>
      <c r="CSS34" s="672"/>
      <c r="CST34" s="672"/>
      <c r="CSU34" s="672"/>
      <c r="CSV34" s="672"/>
      <c r="CSW34" s="672"/>
      <c r="CSX34" s="672"/>
      <c r="CSY34" s="672"/>
      <c r="CSZ34" s="672"/>
      <c r="CTA34" s="672"/>
      <c r="CTB34" s="672"/>
      <c r="CTC34" s="672"/>
      <c r="CTD34" s="672"/>
      <c r="CTE34" s="672"/>
      <c r="CTF34" s="672"/>
      <c r="CTG34" s="672"/>
      <c r="CTH34" s="672"/>
      <c r="CTI34" s="672"/>
      <c r="CTJ34" s="672"/>
      <c r="CTK34" s="672"/>
      <c r="CTL34" s="672"/>
      <c r="CTM34" s="672"/>
      <c r="CTN34" s="672"/>
      <c r="CTO34" s="672"/>
      <c r="CTP34" s="672"/>
      <c r="CTQ34" s="672"/>
      <c r="CTR34" s="672"/>
      <c r="CTS34" s="672"/>
      <c r="CTT34" s="672"/>
      <c r="CTU34" s="672"/>
      <c r="CTV34" s="672"/>
      <c r="CTW34" s="672"/>
      <c r="CTX34" s="672"/>
      <c r="CTY34" s="672"/>
      <c r="CTZ34" s="672"/>
      <c r="CUA34" s="672"/>
      <c r="CUB34" s="672"/>
      <c r="CUC34" s="672"/>
      <c r="CUD34" s="672"/>
      <c r="CUE34" s="672"/>
      <c r="CUF34" s="672"/>
      <c r="CUG34" s="672"/>
      <c r="CUH34" s="672"/>
      <c r="CUI34" s="672"/>
      <c r="CUJ34" s="672"/>
      <c r="CUK34" s="672"/>
      <c r="CUL34" s="672"/>
      <c r="CUM34" s="672"/>
      <c r="CUN34" s="672"/>
      <c r="CUO34" s="672"/>
      <c r="CUP34" s="672"/>
      <c r="CUQ34" s="672"/>
      <c r="CUR34" s="672"/>
      <c r="CUS34" s="672"/>
      <c r="CUT34" s="672"/>
      <c r="CUU34" s="672"/>
      <c r="CUV34" s="672"/>
      <c r="CUW34" s="672"/>
      <c r="CUX34" s="672"/>
      <c r="CUY34" s="672"/>
      <c r="CUZ34" s="672"/>
      <c r="CVA34" s="672"/>
      <c r="CVB34" s="672"/>
      <c r="CVC34" s="672"/>
      <c r="CVD34" s="672"/>
      <c r="CVE34" s="672"/>
      <c r="CVF34" s="672"/>
      <c r="CVG34" s="672"/>
      <c r="CVH34" s="672"/>
      <c r="CVI34" s="672"/>
      <c r="CVJ34" s="672"/>
      <c r="CVK34" s="672"/>
      <c r="CVL34" s="672"/>
      <c r="CVM34" s="672"/>
      <c r="CVN34" s="672"/>
      <c r="CVO34" s="672"/>
      <c r="CVP34" s="672"/>
      <c r="CVQ34" s="672"/>
      <c r="CVR34" s="672"/>
      <c r="CVS34" s="672"/>
      <c r="CVT34" s="672"/>
      <c r="CVU34" s="672"/>
      <c r="CVV34" s="672"/>
      <c r="CVW34" s="672"/>
      <c r="CVX34" s="672"/>
      <c r="CVY34" s="672"/>
      <c r="CVZ34" s="672"/>
      <c r="CWA34" s="672"/>
      <c r="CWB34" s="672"/>
      <c r="CWC34" s="672"/>
      <c r="CWD34" s="672"/>
      <c r="CWE34" s="672"/>
      <c r="CWF34" s="672"/>
      <c r="CWG34" s="672"/>
      <c r="CWH34" s="672"/>
      <c r="CWI34" s="672"/>
      <c r="CWJ34" s="672"/>
      <c r="CWK34" s="672"/>
      <c r="CWL34" s="672"/>
      <c r="CWM34" s="672"/>
      <c r="CWN34" s="672"/>
      <c r="CWO34" s="672"/>
      <c r="CWP34" s="672"/>
      <c r="CWQ34" s="672"/>
      <c r="CWR34" s="672"/>
      <c r="CWS34" s="672"/>
      <c r="CWT34" s="672"/>
      <c r="CWU34" s="672"/>
      <c r="CWV34" s="672"/>
      <c r="CWW34" s="672"/>
      <c r="CWX34" s="672"/>
      <c r="CWY34" s="672"/>
      <c r="CWZ34" s="672"/>
      <c r="CXA34" s="672"/>
      <c r="CXB34" s="672"/>
      <c r="CXC34" s="672"/>
      <c r="CXD34" s="672"/>
      <c r="CXE34" s="672"/>
      <c r="CXF34" s="672"/>
      <c r="CXG34" s="672"/>
      <c r="CXH34" s="672"/>
      <c r="CXI34" s="672"/>
      <c r="CXJ34" s="672"/>
      <c r="CXK34" s="672"/>
      <c r="CXL34" s="672"/>
      <c r="CXM34" s="672"/>
      <c r="CXN34" s="672"/>
      <c r="CXO34" s="672"/>
      <c r="CXP34" s="672"/>
      <c r="CXQ34" s="672"/>
      <c r="CXR34" s="672"/>
      <c r="CXS34" s="672"/>
      <c r="CXT34" s="672"/>
      <c r="CXU34" s="672"/>
      <c r="CXV34" s="672"/>
      <c r="CXW34" s="672"/>
      <c r="CXX34" s="672"/>
      <c r="CXY34" s="672"/>
      <c r="CXZ34" s="672"/>
      <c r="CYA34" s="672"/>
      <c r="CYB34" s="672"/>
      <c r="CYC34" s="672"/>
      <c r="CYD34" s="672"/>
      <c r="CYE34" s="672"/>
      <c r="CYF34" s="672"/>
      <c r="CYG34" s="672"/>
      <c r="CYH34" s="672"/>
      <c r="CYI34" s="672"/>
      <c r="CYJ34" s="672"/>
      <c r="CYK34" s="672"/>
      <c r="CYL34" s="672"/>
      <c r="CYM34" s="672"/>
      <c r="CYN34" s="672"/>
      <c r="CYO34" s="672"/>
      <c r="CYP34" s="672"/>
      <c r="CYQ34" s="672"/>
      <c r="CYR34" s="672"/>
      <c r="CYS34" s="672"/>
      <c r="CYT34" s="672"/>
      <c r="CYU34" s="672"/>
      <c r="CYV34" s="672"/>
      <c r="CYW34" s="672"/>
      <c r="CYX34" s="672"/>
      <c r="CYY34" s="672"/>
      <c r="CYZ34" s="672"/>
      <c r="CZA34" s="672"/>
      <c r="CZB34" s="672"/>
      <c r="CZC34" s="672"/>
      <c r="CZD34" s="672"/>
      <c r="CZE34" s="672"/>
      <c r="CZF34" s="672"/>
      <c r="CZG34" s="672"/>
      <c r="CZH34" s="672"/>
      <c r="CZI34" s="672"/>
      <c r="CZJ34" s="672"/>
      <c r="CZK34" s="672"/>
      <c r="CZL34" s="672"/>
      <c r="CZM34" s="672"/>
      <c r="CZN34" s="672"/>
      <c r="CZO34" s="672"/>
      <c r="CZP34" s="672"/>
      <c r="CZQ34" s="672"/>
      <c r="CZR34" s="672"/>
      <c r="CZS34" s="672"/>
      <c r="CZT34" s="672"/>
      <c r="CZU34" s="672"/>
      <c r="CZV34" s="672"/>
      <c r="CZW34" s="672"/>
      <c r="CZX34" s="672"/>
      <c r="CZY34" s="672"/>
      <c r="CZZ34" s="672"/>
      <c r="DAA34" s="672"/>
      <c r="DAB34" s="672"/>
      <c r="DAC34" s="672"/>
      <c r="DAD34" s="672"/>
      <c r="DAE34" s="672"/>
      <c r="DAF34" s="672"/>
      <c r="DAG34" s="672"/>
      <c r="DAH34" s="672"/>
      <c r="DAI34" s="672"/>
      <c r="DAJ34" s="672"/>
      <c r="DAK34" s="672"/>
      <c r="DAL34" s="672"/>
      <c r="DAM34" s="672"/>
      <c r="DAN34" s="672"/>
      <c r="DAO34" s="672"/>
      <c r="DAP34" s="672"/>
      <c r="DAQ34" s="672"/>
      <c r="DAR34" s="672"/>
      <c r="DAS34" s="672"/>
      <c r="DAT34" s="672"/>
      <c r="DAU34" s="672"/>
      <c r="DAV34" s="672"/>
      <c r="DAW34" s="672"/>
      <c r="DAX34" s="672"/>
      <c r="DAY34" s="672"/>
      <c r="DAZ34" s="672"/>
      <c r="DBA34" s="672"/>
      <c r="DBB34" s="672"/>
      <c r="DBC34" s="672"/>
      <c r="DBD34" s="672"/>
      <c r="DBE34" s="672"/>
      <c r="DBF34" s="672"/>
      <c r="DBG34" s="672"/>
      <c r="DBH34" s="672"/>
      <c r="DBI34" s="672"/>
      <c r="DBJ34" s="672"/>
      <c r="DBK34" s="672"/>
      <c r="DBL34" s="672"/>
      <c r="DBM34" s="672"/>
      <c r="DBN34" s="672"/>
      <c r="DBO34" s="672"/>
      <c r="DBP34" s="672"/>
      <c r="DBQ34" s="672"/>
      <c r="DBR34" s="672"/>
      <c r="DBS34" s="672"/>
      <c r="DBT34" s="672"/>
      <c r="DBU34" s="672"/>
      <c r="DBV34" s="672"/>
      <c r="DBW34" s="672"/>
      <c r="DBX34" s="672"/>
      <c r="DBY34" s="672"/>
      <c r="DBZ34" s="672"/>
      <c r="DCA34" s="672"/>
      <c r="DCB34" s="672"/>
      <c r="DCC34" s="672"/>
      <c r="DCD34" s="672"/>
      <c r="DCE34" s="672"/>
      <c r="DCF34" s="672"/>
      <c r="DCG34" s="672"/>
      <c r="DCH34" s="672"/>
      <c r="DCI34" s="672"/>
      <c r="DCJ34" s="672"/>
      <c r="DCK34" s="672"/>
      <c r="DCL34" s="672"/>
      <c r="DCM34" s="672"/>
      <c r="DCN34" s="672"/>
      <c r="DCO34" s="672"/>
      <c r="DCP34" s="672"/>
      <c r="DCQ34" s="672"/>
      <c r="DCR34" s="672"/>
      <c r="DCS34" s="672"/>
      <c r="DCT34" s="672"/>
      <c r="DCU34" s="672"/>
      <c r="DCV34" s="672"/>
      <c r="DCW34" s="672"/>
      <c r="DCX34" s="672"/>
      <c r="DCY34" s="672"/>
      <c r="DCZ34" s="672"/>
      <c r="DDA34" s="672"/>
      <c r="DDB34" s="672"/>
      <c r="DDC34" s="672"/>
      <c r="DDD34" s="672"/>
      <c r="DDE34" s="672"/>
      <c r="DDF34" s="672"/>
      <c r="DDG34" s="672"/>
      <c r="DDH34" s="672"/>
      <c r="DDI34" s="672"/>
      <c r="DDJ34" s="672"/>
      <c r="DDK34" s="672"/>
      <c r="DDL34" s="672"/>
      <c r="DDM34" s="672"/>
      <c r="DDN34" s="672"/>
      <c r="DDO34" s="672"/>
      <c r="DDP34" s="672"/>
      <c r="DDQ34" s="672"/>
      <c r="DDR34" s="672"/>
      <c r="DDS34" s="672"/>
      <c r="DDT34" s="672"/>
      <c r="DDU34" s="672"/>
      <c r="DDV34" s="672"/>
      <c r="DDW34" s="672"/>
      <c r="DDX34" s="672"/>
      <c r="DDY34" s="672"/>
      <c r="DDZ34" s="672"/>
      <c r="DEA34" s="672"/>
      <c r="DEB34" s="672"/>
      <c r="DEC34" s="672"/>
      <c r="DED34" s="672"/>
      <c r="DEE34" s="672"/>
      <c r="DEF34" s="672"/>
      <c r="DEG34" s="672"/>
      <c r="DEH34" s="672"/>
      <c r="DEI34" s="672"/>
      <c r="DEJ34" s="672"/>
      <c r="DEK34" s="672"/>
      <c r="DEL34" s="672"/>
      <c r="DEM34" s="672"/>
      <c r="DEN34" s="672"/>
      <c r="DEO34" s="672"/>
      <c r="DEP34" s="672"/>
      <c r="DEQ34" s="672"/>
      <c r="DER34" s="672"/>
      <c r="DES34" s="672"/>
      <c r="DET34" s="672"/>
      <c r="DEU34" s="672"/>
      <c r="DEV34" s="672"/>
      <c r="DEW34" s="672"/>
      <c r="DEX34" s="672"/>
      <c r="DEY34" s="672"/>
      <c r="DEZ34" s="672"/>
      <c r="DFA34" s="672"/>
      <c r="DFB34" s="672"/>
      <c r="DFC34" s="672"/>
      <c r="DFD34" s="672"/>
      <c r="DFE34" s="672"/>
      <c r="DFF34" s="672"/>
      <c r="DFG34" s="672"/>
      <c r="DFH34" s="672"/>
      <c r="DFI34" s="672"/>
      <c r="DFJ34" s="672"/>
      <c r="DFK34" s="672"/>
      <c r="DFL34" s="672"/>
      <c r="DFM34" s="672"/>
      <c r="DFN34" s="672"/>
      <c r="DFO34" s="672"/>
      <c r="DFP34" s="672"/>
      <c r="DFQ34" s="672"/>
      <c r="DFR34" s="672"/>
      <c r="DFS34" s="672"/>
      <c r="DFT34" s="672"/>
      <c r="DFU34" s="672"/>
      <c r="DFV34" s="672"/>
      <c r="DFW34" s="672"/>
      <c r="DFX34" s="672"/>
      <c r="DFY34" s="672"/>
      <c r="DFZ34" s="672"/>
      <c r="DGA34" s="672"/>
      <c r="DGB34" s="672"/>
      <c r="DGC34" s="672"/>
      <c r="DGD34" s="672"/>
      <c r="DGE34" s="672"/>
      <c r="DGF34" s="672"/>
      <c r="DGG34" s="672"/>
      <c r="DGH34" s="672"/>
      <c r="DGI34" s="672"/>
      <c r="DGJ34" s="672"/>
      <c r="DGK34" s="672"/>
      <c r="DGL34" s="672"/>
      <c r="DGM34" s="672"/>
      <c r="DGN34" s="672"/>
      <c r="DGO34" s="672"/>
      <c r="DGP34" s="672"/>
      <c r="DGQ34" s="672"/>
      <c r="DGR34" s="672"/>
      <c r="DGS34" s="672"/>
      <c r="DGT34" s="672"/>
      <c r="DGU34" s="672"/>
      <c r="DGV34" s="672"/>
      <c r="DGW34" s="672"/>
      <c r="DGX34" s="672"/>
      <c r="DGY34" s="672"/>
      <c r="DGZ34" s="672"/>
      <c r="DHA34" s="672"/>
      <c r="DHB34" s="672"/>
      <c r="DHC34" s="672"/>
      <c r="DHD34" s="672"/>
      <c r="DHE34" s="672"/>
      <c r="DHF34" s="672"/>
      <c r="DHG34" s="672"/>
      <c r="DHH34" s="672"/>
      <c r="DHI34" s="672"/>
      <c r="DHJ34" s="672"/>
      <c r="DHK34" s="672"/>
      <c r="DHL34" s="672"/>
      <c r="DHM34" s="672"/>
      <c r="DHN34" s="672"/>
      <c r="DHO34" s="672"/>
      <c r="DHP34" s="672"/>
      <c r="DHQ34" s="672"/>
      <c r="DHR34" s="672"/>
      <c r="DHS34" s="672"/>
      <c r="DHT34" s="672"/>
      <c r="DHU34" s="672"/>
      <c r="DHV34" s="672"/>
      <c r="DHW34" s="672"/>
      <c r="DHX34" s="672"/>
      <c r="DHY34" s="672"/>
      <c r="DHZ34" s="672"/>
      <c r="DIA34" s="672"/>
      <c r="DIB34" s="672"/>
      <c r="DIC34" s="672"/>
      <c r="DID34" s="672"/>
      <c r="DIE34" s="672"/>
      <c r="DIF34" s="672"/>
      <c r="DIG34" s="672"/>
      <c r="DIH34" s="672"/>
      <c r="DII34" s="672"/>
      <c r="DIJ34" s="672"/>
      <c r="DIK34" s="672"/>
      <c r="DIL34" s="672"/>
      <c r="DIM34" s="672"/>
      <c r="DIN34" s="672"/>
      <c r="DIO34" s="672"/>
      <c r="DIP34" s="672"/>
      <c r="DIQ34" s="672"/>
      <c r="DIR34" s="672"/>
      <c r="DIS34" s="672"/>
      <c r="DIT34" s="672"/>
      <c r="DIU34" s="672"/>
      <c r="DIV34" s="672"/>
      <c r="DIW34" s="672"/>
      <c r="DIX34" s="672"/>
      <c r="DIY34" s="672"/>
      <c r="DIZ34" s="672"/>
      <c r="DJA34" s="672"/>
      <c r="DJB34" s="672"/>
      <c r="DJC34" s="672"/>
      <c r="DJD34" s="672"/>
      <c r="DJE34" s="672"/>
      <c r="DJF34" s="672"/>
      <c r="DJG34" s="672"/>
      <c r="DJH34" s="672"/>
      <c r="DJI34" s="672"/>
      <c r="DJJ34" s="672"/>
      <c r="DJK34" s="672"/>
      <c r="DJL34" s="672"/>
      <c r="DJM34" s="672"/>
      <c r="DJN34" s="672"/>
      <c r="DJO34" s="672"/>
      <c r="DJP34" s="672"/>
      <c r="DJQ34" s="672"/>
      <c r="DJR34" s="672"/>
      <c r="DJS34" s="672"/>
      <c r="DJT34" s="672"/>
      <c r="DJU34" s="672"/>
      <c r="DJV34" s="672"/>
      <c r="DJW34" s="672"/>
      <c r="DJX34" s="672"/>
      <c r="DJY34" s="672"/>
      <c r="DJZ34" s="672"/>
      <c r="DKA34" s="672"/>
      <c r="DKB34" s="672"/>
      <c r="DKC34" s="672"/>
      <c r="DKD34" s="672"/>
      <c r="DKE34" s="672"/>
      <c r="DKF34" s="672"/>
      <c r="DKG34" s="672"/>
      <c r="DKH34" s="672"/>
      <c r="DKI34" s="672"/>
      <c r="DKJ34" s="672"/>
      <c r="DKK34" s="672"/>
      <c r="DKL34" s="672"/>
      <c r="DKM34" s="672"/>
      <c r="DKN34" s="672"/>
      <c r="DKO34" s="672"/>
      <c r="DKP34" s="672"/>
      <c r="DKQ34" s="672"/>
      <c r="DKR34" s="672"/>
      <c r="DKS34" s="672"/>
      <c r="DKT34" s="672"/>
      <c r="DKU34" s="672"/>
      <c r="DKV34" s="672"/>
      <c r="DKW34" s="672"/>
      <c r="DKX34" s="672"/>
      <c r="DKY34" s="672"/>
      <c r="DKZ34" s="672"/>
      <c r="DLA34" s="672"/>
      <c r="DLB34" s="672"/>
      <c r="DLC34" s="672"/>
      <c r="DLD34" s="672"/>
      <c r="DLE34" s="672"/>
      <c r="DLF34" s="672"/>
      <c r="DLG34" s="672"/>
      <c r="DLH34" s="672"/>
      <c r="DLI34" s="672"/>
      <c r="DLJ34" s="672"/>
      <c r="DLK34" s="672"/>
      <c r="DLL34" s="672"/>
      <c r="DLM34" s="672"/>
      <c r="DLN34" s="672"/>
      <c r="DLO34" s="672"/>
      <c r="DLP34" s="672"/>
      <c r="DLQ34" s="672"/>
      <c r="DLR34" s="672"/>
      <c r="DLS34" s="672"/>
      <c r="DLT34" s="672"/>
      <c r="DLU34" s="672"/>
      <c r="DLV34" s="672"/>
      <c r="DLW34" s="672"/>
      <c r="DLX34" s="672"/>
      <c r="DLY34" s="672"/>
      <c r="DLZ34" s="672"/>
      <c r="DMA34" s="672"/>
      <c r="DMB34" s="672"/>
      <c r="DMC34" s="672"/>
      <c r="DMD34" s="672"/>
      <c r="DME34" s="672"/>
      <c r="DMF34" s="672"/>
      <c r="DMG34" s="672"/>
      <c r="DMH34" s="672"/>
      <c r="DMI34" s="672"/>
      <c r="DMJ34" s="672"/>
      <c r="DMK34" s="672"/>
      <c r="DML34" s="672"/>
      <c r="DMM34" s="672"/>
      <c r="DMN34" s="672"/>
      <c r="DMO34" s="672"/>
      <c r="DMP34" s="672"/>
      <c r="DMQ34" s="672"/>
      <c r="DMR34" s="672"/>
      <c r="DMS34" s="672"/>
      <c r="DMT34" s="672"/>
      <c r="DMU34" s="672"/>
      <c r="DMV34" s="672"/>
      <c r="DMW34" s="672"/>
      <c r="DMX34" s="672"/>
      <c r="DMY34" s="672"/>
      <c r="DMZ34" s="672"/>
      <c r="DNA34" s="672"/>
      <c r="DNB34" s="672"/>
      <c r="DNC34" s="672"/>
      <c r="DND34" s="672"/>
      <c r="DNE34" s="672"/>
      <c r="DNF34" s="672"/>
      <c r="DNG34" s="672"/>
      <c r="DNH34" s="672"/>
      <c r="DNI34" s="672"/>
      <c r="DNJ34" s="672"/>
      <c r="DNK34" s="672"/>
      <c r="DNL34" s="672"/>
      <c r="DNM34" s="672"/>
      <c r="DNN34" s="672"/>
      <c r="DNO34" s="672"/>
      <c r="DNP34" s="672"/>
      <c r="DNQ34" s="672"/>
      <c r="DNR34" s="672"/>
      <c r="DNS34" s="672"/>
      <c r="DNT34" s="672"/>
      <c r="DNU34" s="672"/>
      <c r="DNV34" s="672"/>
      <c r="DNW34" s="672"/>
      <c r="DNX34" s="672"/>
      <c r="DNY34" s="672"/>
      <c r="DNZ34" s="672"/>
      <c r="DOA34" s="672"/>
      <c r="DOB34" s="672"/>
      <c r="DOC34" s="672"/>
      <c r="DOD34" s="672"/>
      <c r="DOE34" s="672"/>
      <c r="DOF34" s="672"/>
      <c r="DOG34" s="672"/>
      <c r="DOH34" s="672"/>
      <c r="DOI34" s="672"/>
      <c r="DOJ34" s="672"/>
      <c r="DOK34" s="672"/>
      <c r="DOL34" s="672"/>
      <c r="DOM34" s="672"/>
      <c r="DON34" s="672"/>
      <c r="DOO34" s="672"/>
      <c r="DOP34" s="672"/>
      <c r="DOQ34" s="672"/>
      <c r="DOR34" s="672"/>
      <c r="DOS34" s="672"/>
      <c r="DOT34" s="672"/>
      <c r="DOU34" s="672"/>
      <c r="DOV34" s="672"/>
      <c r="DOW34" s="672"/>
      <c r="DOX34" s="672"/>
      <c r="DOY34" s="672"/>
      <c r="DOZ34" s="672"/>
      <c r="DPA34" s="672"/>
      <c r="DPB34" s="672"/>
      <c r="DPC34" s="672"/>
      <c r="DPD34" s="672"/>
      <c r="DPE34" s="672"/>
      <c r="DPF34" s="672"/>
      <c r="DPG34" s="672"/>
      <c r="DPH34" s="672"/>
      <c r="DPI34" s="672"/>
      <c r="DPJ34" s="672"/>
      <c r="DPK34" s="672"/>
      <c r="DPL34" s="672"/>
      <c r="DPM34" s="672"/>
      <c r="DPN34" s="672"/>
      <c r="DPO34" s="672"/>
      <c r="DPP34" s="672"/>
      <c r="DPQ34" s="672"/>
      <c r="DPR34" s="672"/>
      <c r="DPS34" s="672"/>
      <c r="DPT34" s="672"/>
      <c r="DPU34" s="672"/>
      <c r="DPV34" s="672"/>
      <c r="DPW34" s="672"/>
      <c r="DPX34" s="672"/>
      <c r="DPY34" s="672"/>
      <c r="DPZ34" s="672"/>
      <c r="DQA34" s="672"/>
      <c r="DQB34" s="672"/>
      <c r="DQC34" s="672"/>
      <c r="DQD34" s="672"/>
      <c r="DQE34" s="672"/>
      <c r="DQF34" s="672"/>
      <c r="DQG34" s="672"/>
      <c r="DQH34" s="672"/>
      <c r="DQI34" s="672"/>
      <c r="DQJ34" s="672"/>
      <c r="DQK34" s="672"/>
      <c r="DQL34" s="672"/>
      <c r="DQM34" s="672"/>
      <c r="DQN34" s="672"/>
      <c r="DQO34" s="672"/>
      <c r="DQP34" s="672"/>
      <c r="DQQ34" s="672"/>
      <c r="DQR34" s="672"/>
      <c r="DQS34" s="672"/>
      <c r="DQT34" s="672"/>
      <c r="DQU34" s="672"/>
      <c r="DQV34" s="672"/>
      <c r="DQW34" s="672"/>
      <c r="DQX34" s="672"/>
      <c r="DQY34" s="672"/>
      <c r="DQZ34" s="672"/>
      <c r="DRA34" s="672"/>
      <c r="DRB34" s="672"/>
      <c r="DRC34" s="672"/>
      <c r="DRD34" s="672"/>
      <c r="DRE34" s="672"/>
      <c r="DRF34" s="672"/>
      <c r="DRG34" s="672"/>
      <c r="DRH34" s="672"/>
      <c r="DRI34" s="672"/>
      <c r="DRJ34" s="672"/>
      <c r="DRK34" s="672"/>
      <c r="DRL34" s="672"/>
      <c r="DRM34" s="672"/>
      <c r="DRN34" s="672"/>
      <c r="DRO34" s="672"/>
      <c r="DRP34" s="672"/>
      <c r="DRQ34" s="672"/>
      <c r="DRR34" s="672"/>
      <c r="DRS34" s="672"/>
      <c r="DRT34" s="672"/>
      <c r="DRU34" s="672"/>
      <c r="DRV34" s="672"/>
      <c r="DRW34" s="672"/>
      <c r="DRX34" s="672"/>
      <c r="DRY34" s="672"/>
      <c r="DRZ34" s="672"/>
      <c r="DSA34" s="672"/>
      <c r="DSB34" s="672"/>
      <c r="DSC34" s="672"/>
      <c r="DSD34" s="672"/>
      <c r="DSE34" s="672"/>
      <c r="DSF34" s="672"/>
      <c r="DSG34" s="672"/>
      <c r="DSH34" s="672"/>
      <c r="DSI34" s="672"/>
      <c r="DSJ34" s="672"/>
      <c r="DSK34" s="672"/>
      <c r="DSL34" s="672"/>
      <c r="DSM34" s="672"/>
      <c r="DSN34" s="672"/>
      <c r="DSO34" s="672"/>
      <c r="DSP34" s="672"/>
      <c r="DSQ34" s="672"/>
      <c r="DSR34" s="672"/>
      <c r="DSS34" s="672"/>
      <c r="DST34" s="672"/>
      <c r="DSU34" s="672"/>
      <c r="DSV34" s="672"/>
      <c r="DSW34" s="672"/>
      <c r="DSX34" s="672"/>
      <c r="DSY34" s="672"/>
      <c r="DSZ34" s="672"/>
      <c r="DTA34" s="672"/>
      <c r="DTB34" s="672"/>
      <c r="DTC34" s="672"/>
      <c r="DTD34" s="672"/>
      <c r="DTE34" s="672"/>
      <c r="DTF34" s="672"/>
      <c r="DTG34" s="672"/>
      <c r="DTH34" s="672"/>
      <c r="DTI34" s="672"/>
      <c r="DTJ34" s="672"/>
      <c r="DTK34" s="672"/>
      <c r="DTL34" s="672"/>
      <c r="DTM34" s="672"/>
      <c r="DTN34" s="672"/>
      <c r="DTO34" s="672"/>
      <c r="DTP34" s="672"/>
      <c r="DTQ34" s="672"/>
      <c r="DTR34" s="672"/>
      <c r="DTS34" s="672"/>
      <c r="DTT34" s="672"/>
      <c r="DTU34" s="672"/>
      <c r="DTV34" s="672"/>
      <c r="DTW34" s="672"/>
      <c r="DTX34" s="672"/>
      <c r="DTY34" s="672"/>
      <c r="DTZ34" s="672"/>
      <c r="DUA34" s="672"/>
      <c r="DUB34" s="672"/>
      <c r="DUC34" s="672"/>
      <c r="DUD34" s="672"/>
      <c r="DUE34" s="672"/>
      <c r="DUF34" s="672"/>
      <c r="DUG34" s="672"/>
      <c r="DUH34" s="672"/>
      <c r="DUI34" s="672"/>
      <c r="DUJ34" s="672"/>
      <c r="DUK34" s="672"/>
      <c r="DUL34" s="672"/>
      <c r="DUM34" s="672"/>
      <c r="DUN34" s="672"/>
      <c r="DUO34" s="672"/>
      <c r="DUP34" s="672"/>
      <c r="DUQ34" s="672"/>
      <c r="DUR34" s="672"/>
      <c r="DUS34" s="672"/>
      <c r="DUT34" s="672"/>
      <c r="DUU34" s="672"/>
      <c r="DUV34" s="672"/>
      <c r="DUW34" s="672"/>
      <c r="DUX34" s="672"/>
      <c r="DUY34" s="672"/>
      <c r="DUZ34" s="672"/>
      <c r="DVA34" s="672"/>
      <c r="DVB34" s="672"/>
      <c r="DVC34" s="672"/>
      <c r="DVD34" s="672"/>
      <c r="DVE34" s="672"/>
      <c r="DVF34" s="672"/>
      <c r="DVG34" s="672"/>
      <c r="DVH34" s="672"/>
      <c r="DVI34" s="672"/>
      <c r="DVJ34" s="672"/>
      <c r="DVK34" s="672"/>
      <c r="DVL34" s="672"/>
      <c r="DVM34" s="672"/>
      <c r="DVN34" s="672"/>
      <c r="DVO34" s="672"/>
      <c r="DVP34" s="672"/>
      <c r="DVQ34" s="672"/>
      <c r="DVR34" s="672"/>
      <c r="DVS34" s="672"/>
      <c r="DVT34" s="672"/>
      <c r="DVU34" s="672"/>
      <c r="DVV34" s="672"/>
      <c r="DVW34" s="672"/>
      <c r="DVX34" s="672"/>
      <c r="DVY34" s="672"/>
      <c r="DVZ34" s="672"/>
      <c r="DWA34" s="672"/>
      <c r="DWB34" s="672"/>
      <c r="DWC34" s="672"/>
      <c r="DWD34" s="672"/>
      <c r="DWE34" s="672"/>
      <c r="DWF34" s="672"/>
      <c r="DWG34" s="672"/>
      <c r="DWH34" s="672"/>
      <c r="DWI34" s="672"/>
      <c r="DWJ34" s="672"/>
      <c r="DWK34" s="672"/>
      <c r="DWL34" s="672"/>
      <c r="DWM34" s="672"/>
      <c r="DWN34" s="672"/>
      <c r="DWO34" s="672"/>
      <c r="DWP34" s="672"/>
      <c r="DWQ34" s="672"/>
      <c r="DWR34" s="672"/>
      <c r="DWS34" s="672"/>
      <c r="DWT34" s="672"/>
      <c r="DWU34" s="672"/>
      <c r="DWV34" s="672"/>
      <c r="DWW34" s="672"/>
      <c r="DWX34" s="672"/>
      <c r="DWY34" s="672"/>
      <c r="DWZ34" s="672"/>
      <c r="DXA34" s="672"/>
      <c r="DXB34" s="672"/>
      <c r="DXC34" s="672"/>
      <c r="DXD34" s="672"/>
      <c r="DXE34" s="672"/>
      <c r="DXF34" s="672"/>
      <c r="DXG34" s="672"/>
      <c r="DXH34" s="672"/>
      <c r="DXI34" s="672"/>
      <c r="DXJ34" s="672"/>
      <c r="DXK34" s="672"/>
      <c r="DXL34" s="672"/>
      <c r="DXM34" s="672"/>
      <c r="DXN34" s="672"/>
      <c r="DXO34" s="672"/>
      <c r="DXP34" s="672"/>
      <c r="DXQ34" s="672"/>
      <c r="DXR34" s="672"/>
      <c r="DXS34" s="672"/>
      <c r="DXT34" s="672"/>
      <c r="DXU34" s="672"/>
      <c r="DXV34" s="672"/>
      <c r="DXW34" s="672"/>
      <c r="DXX34" s="672"/>
      <c r="DXY34" s="672"/>
      <c r="DXZ34" s="672"/>
      <c r="DYA34" s="672"/>
      <c r="DYB34" s="672"/>
      <c r="DYC34" s="672"/>
      <c r="DYD34" s="672"/>
      <c r="DYE34" s="672"/>
      <c r="DYF34" s="672"/>
      <c r="DYG34" s="672"/>
      <c r="DYH34" s="672"/>
      <c r="DYI34" s="672"/>
      <c r="DYJ34" s="672"/>
      <c r="DYK34" s="672"/>
      <c r="DYL34" s="672"/>
      <c r="DYM34" s="672"/>
      <c r="DYN34" s="672"/>
      <c r="DYO34" s="672"/>
      <c r="DYP34" s="672"/>
      <c r="DYQ34" s="672"/>
      <c r="DYR34" s="672"/>
      <c r="DYS34" s="672"/>
      <c r="DYT34" s="672"/>
      <c r="DYU34" s="672"/>
      <c r="DYV34" s="672"/>
      <c r="DYW34" s="672"/>
      <c r="DYX34" s="672"/>
      <c r="DYY34" s="672"/>
      <c r="DYZ34" s="672"/>
      <c r="DZA34" s="672"/>
      <c r="DZB34" s="672"/>
      <c r="DZC34" s="672"/>
      <c r="DZD34" s="672"/>
      <c r="DZE34" s="672"/>
      <c r="DZF34" s="672"/>
      <c r="DZG34" s="672"/>
      <c r="DZH34" s="672"/>
      <c r="DZI34" s="672"/>
      <c r="DZJ34" s="672"/>
      <c r="DZK34" s="672"/>
      <c r="DZL34" s="672"/>
      <c r="DZM34" s="672"/>
      <c r="DZN34" s="672"/>
      <c r="DZO34" s="672"/>
      <c r="DZP34" s="672"/>
      <c r="DZQ34" s="672"/>
      <c r="DZR34" s="672"/>
      <c r="DZS34" s="672"/>
      <c r="DZT34" s="672"/>
      <c r="DZU34" s="672"/>
      <c r="DZV34" s="672"/>
      <c r="DZW34" s="672"/>
      <c r="DZX34" s="672"/>
      <c r="DZY34" s="672"/>
      <c r="DZZ34" s="672"/>
      <c r="EAA34" s="672"/>
      <c r="EAB34" s="672"/>
      <c r="EAC34" s="672"/>
      <c r="EAD34" s="672"/>
      <c r="EAE34" s="672"/>
      <c r="EAF34" s="672"/>
      <c r="EAG34" s="672"/>
      <c r="EAH34" s="672"/>
      <c r="EAI34" s="672"/>
      <c r="EAJ34" s="672"/>
      <c r="EAK34" s="672"/>
      <c r="EAL34" s="672"/>
      <c r="EAM34" s="672"/>
      <c r="EAN34" s="672"/>
      <c r="EAO34" s="672"/>
      <c r="EAP34" s="672"/>
      <c r="EAQ34" s="672"/>
      <c r="EAR34" s="672"/>
      <c r="EAS34" s="672"/>
      <c r="EAT34" s="672"/>
      <c r="EAU34" s="672"/>
      <c r="EAV34" s="672"/>
      <c r="EAW34" s="672"/>
      <c r="EAX34" s="672"/>
      <c r="EAY34" s="672"/>
      <c r="EAZ34" s="672"/>
      <c r="EBA34" s="672"/>
      <c r="EBB34" s="672"/>
      <c r="EBC34" s="672"/>
      <c r="EBD34" s="672"/>
      <c r="EBE34" s="672"/>
      <c r="EBF34" s="672"/>
      <c r="EBG34" s="672"/>
      <c r="EBH34" s="672"/>
      <c r="EBI34" s="672"/>
      <c r="EBJ34" s="672"/>
      <c r="EBK34" s="672"/>
      <c r="EBL34" s="672"/>
      <c r="EBM34" s="672"/>
      <c r="EBN34" s="672"/>
      <c r="EBO34" s="672"/>
      <c r="EBP34" s="672"/>
      <c r="EBQ34" s="672"/>
      <c r="EBR34" s="672"/>
      <c r="EBS34" s="672"/>
      <c r="EBT34" s="672"/>
      <c r="EBU34" s="672"/>
      <c r="EBV34" s="672"/>
      <c r="EBW34" s="672"/>
      <c r="EBX34" s="672"/>
      <c r="EBY34" s="672"/>
      <c r="EBZ34" s="672"/>
      <c r="ECA34" s="672"/>
      <c r="ECB34" s="672"/>
      <c r="ECC34" s="672"/>
      <c r="ECD34" s="672"/>
      <c r="ECE34" s="672"/>
      <c r="ECF34" s="672"/>
      <c r="ECG34" s="672"/>
      <c r="ECH34" s="672"/>
      <c r="ECI34" s="672"/>
      <c r="ECJ34" s="672"/>
      <c r="ECK34" s="672"/>
      <c r="ECL34" s="672"/>
      <c r="ECM34" s="672"/>
      <c r="ECN34" s="672"/>
      <c r="ECO34" s="672"/>
      <c r="ECP34" s="672"/>
      <c r="ECQ34" s="672"/>
      <c r="ECR34" s="672"/>
      <c r="ECS34" s="672"/>
      <c r="ECT34" s="672"/>
      <c r="ECU34" s="672"/>
      <c r="ECV34" s="672"/>
      <c r="ECW34" s="672"/>
      <c r="ECX34" s="672"/>
      <c r="ECY34" s="672"/>
      <c r="ECZ34" s="672"/>
      <c r="EDA34" s="672"/>
      <c r="EDB34" s="672"/>
      <c r="EDC34" s="672"/>
      <c r="EDD34" s="672"/>
      <c r="EDE34" s="672"/>
      <c r="EDF34" s="672"/>
      <c r="EDG34" s="672"/>
      <c r="EDH34" s="672"/>
      <c r="EDI34" s="672"/>
      <c r="EDJ34" s="672"/>
      <c r="EDK34" s="672"/>
      <c r="EDL34" s="672"/>
      <c r="EDM34" s="672"/>
      <c r="EDN34" s="672"/>
      <c r="EDO34" s="672"/>
      <c r="EDP34" s="672"/>
      <c r="EDQ34" s="672"/>
      <c r="EDR34" s="672"/>
      <c r="EDS34" s="672"/>
      <c r="EDT34" s="672"/>
      <c r="EDU34" s="672"/>
      <c r="EDV34" s="672"/>
      <c r="EDW34" s="672"/>
      <c r="EDX34" s="672"/>
      <c r="EDY34" s="672"/>
      <c r="EDZ34" s="672"/>
      <c r="EEA34" s="672"/>
      <c r="EEB34" s="672"/>
      <c r="EEC34" s="672"/>
      <c r="EED34" s="672"/>
      <c r="EEE34" s="672"/>
      <c r="EEF34" s="672"/>
      <c r="EEG34" s="672"/>
      <c r="EEH34" s="672"/>
      <c r="EEI34" s="672"/>
      <c r="EEJ34" s="672"/>
      <c r="EEK34" s="672"/>
      <c r="EEL34" s="672"/>
      <c r="EEM34" s="672"/>
      <c r="EEN34" s="672"/>
      <c r="EEO34" s="672"/>
      <c r="EEP34" s="672"/>
      <c r="EEQ34" s="672"/>
      <c r="EER34" s="672"/>
      <c r="EES34" s="672"/>
      <c r="EET34" s="672"/>
      <c r="EEU34" s="672"/>
      <c r="EEV34" s="672"/>
      <c r="EEW34" s="672"/>
      <c r="EEX34" s="672"/>
      <c r="EEY34" s="672"/>
      <c r="EEZ34" s="672"/>
      <c r="EFA34" s="672"/>
      <c r="EFB34" s="672"/>
      <c r="EFC34" s="672"/>
      <c r="EFD34" s="672"/>
      <c r="EFE34" s="672"/>
      <c r="EFF34" s="672"/>
      <c r="EFG34" s="672"/>
      <c r="EFH34" s="672"/>
      <c r="EFI34" s="672"/>
      <c r="EFJ34" s="672"/>
      <c r="EFK34" s="672"/>
      <c r="EFL34" s="672"/>
      <c r="EFM34" s="672"/>
      <c r="EFN34" s="672"/>
      <c r="EFO34" s="672"/>
      <c r="EFP34" s="672"/>
      <c r="EFQ34" s="672"/>
      <c r="EFR34" s="672"/>
      <c r="EFS34" s="672"/>
      <c r="EFT34" s="672"/>
      <c r="EFU34" s="672"/>
      <c r="EFV34" s="672"/>
      <c r="EFW34" s="672"/>
      <c r="EFX34" s="672"/>
      <c r="EFY34" s="672"/>
      <c r="EFZ34" s="672"/>
      <c r="EGA34" s="672"/>
      <c r="EGB34" s="672"/>
      <c r="EGC34" s="672"/>
      <c r="EGD34" s="672"/>
      <c r="EGE34" s="672"/>
      <c r="EGF34" s="672"/>
      <c r="EGG34" s="672"/>
      <c r="EGH34" s="672"/>
      <c r="EGI34" s="672"/>
      <c r="EGJ34" s="672"/>
      <c r="EGK34" s="672"/>
      <c r="EGL34" s="672"/>
      <c r="EGM34" s="672"/>
      <c r="EGN34" s="672"/>
      <c r="EGO34" s="672"/>
      <c r="EGP34" s="672"/>
      <c r="EGQ34" s="672"/>
      <c r="EGR34" s="672"/>
      <c r="EGS34" s="672"/>
      <c r="EGT34" s="672"/>
      <c r="EGU34" s="672"/>
      <c r="EGV34" s="672"/>
      <c r="EGW34" s="672"/>
      <c r="EGX34" s="672"/>
      <c r="EGY34" s="672"/>
      <c r="EGZ34" s="672"/>
      <c r="EHA34" s="672"/>
      <c r="EHB34" s="672"/>
      <c r="EHC34" s="672"/>
      <c r="EHD34" s="672"/>
      <c r="EHE34" s="672"/>
      <c r="EHF34" s="672"/>
      <c r="EHG34" s="672"/>
      <c r="EHH34" s="672"/>
      <c r="EHI34" s="672"/>
      <c r="EHJ34" s="672"/>
      <c r="EHK34" s="672"/>
      <c r="EHL34" s="672"/>
      <c r="EHM34" s="672"/>
      <c r="EHN34" s="672"/>
      <c r="EHO34" s="672"/>
      <c r="EHP34" s="672"/>
      <c r="EHQ34" s="672"/>
      <c r="EHR34" s="672"/>
      <c r="EHS34" s="672"/>
      <c r="EHT34" s="672"/>
      <c r="EHU34" s="672"/>
      <c r="EHV34" s="672"/>
      <c r="EHW34" s="672"/>
      <c r="EHX34" s="672"/>
      <c r="EHY34" s="672"/>
      <c r="EHZ34" s="672"/>
      <c r="EIA34" s="672"/>
      <c r="EIB34" s="672"/>
      <c r="EIC34" s="672"/>
      <c r="EID34" s="672"/>
      <c r="EIE34" s="672"/>
      <c r="EIF34" s="672"/>
      <c r="EIG34" s="672"/>
      <c r="EIH34" s="672"/>
      <c r="EII34" s="672"/>
      <c r="EIJ34" s="672"/>
      <c r="EIK34" s="672"/>
      <c r="EIL34" s="672"/>
      <c r="EIM34" s="672"/>
      <c r="EIN34" s="672"/>
      <c r="EIO34" s="672"/>
      <c r="EIP34" s="672"/>
      <c r="EIQ34" s="672"/>
      <c r="EIR34" s="672"/>
      <c r="EIS34" s="672"/>
      <c r="EIT34" s="672"/>
      <c r="EIU34" s="672"/>
      <c r="EIV34" s="672"/>
      <c r="EIW34" s="672"/>
      <c r="EIX34" s="672"/>
      <c r="EIY34" s="672"/>
      <c r="EIZ34" s="672"/>
      <c r="EJA34" s="672"/>
      <c r="EJB34" s="672"/>
      <c r="EJC34" s="672"/>
      <c r="EJD34" s="672"/>
      <c r="EJE34" s="672"/>
      <c r="EJF34" s="672"/>
      <c r="EJG34" s="672"/>
      <c r="EJH34" s="672"/>
      <c r="EJI34" s="672"/>
      <c r="EJJ34" s="672"/>
      <c r="EJK34" s="672"/>
      <c r="EJL34" s="672"/>
      <c r="EJM34" s="672"/>
      <c r="EJN34" s="672"/>
      <c r="EJO34" s="672"/>
      <c r="EJP34" s="672"/>
      <c r="EJQ34" s="672"/>
      <c r="EJR34" s="672"/>
      <c r="EJS34" s="672"/>
      <c r="EJT34" s="672"/>
      <c r="EJU34" s="672"/>
      <c r="EJV34" s="672"/>
      <c r="EJW34" s="672"/>
      <c r="EJX34" s="672"/>
      <c r="EJY34" s="672"/>
      <c r="EJZ34" s="672"/>
      <c r="EKA34" s="672"/>
      <c r="EKB34" s="672"/>
      <c r="EKC34" s="672"/>
      <c r="EKD34" s="672"/>
      <c r="EKE34" s="672"/>
      <c r="EKF34" s="672"/>
      <c r="EKG34" s="672"/>
      <c r="EKH34" s="672"/>
      <c r="EKI34" s="672"/>
      <c r="EKJ34" s="672"/>
      <c r="EKK34" s="672"/>
      <c r="EKL34" s="672"/>
      <c r="EKM34" s="672"/>
      <c r="EKN34" s="672"/>
      <c r="EKO34" s="672"/>
      <c r="EKP34" s="672"/>
      <c r="EKQ34" s="672"/>
      <c r="EKR34" s="672"/>
      <c r="EKS34" s="672"/>
      <c r="EKT34" s="672"/>
      <c r="EKU34" s="672"/>
      <c r="EKV34" s="672"/>
      <c r="EKW34" s="672"/>
      <c r="EKX34" s="672"/>
      <c r="EKY34" s="672"/>
      <c r="EKZ34" s="672"/>
      <c r="ELA34" s="672"/>
      <c r="ELB34" s="672"/>
      <c r="ELC34" s="672"/>
      <c r="ELD34" s="672"/>
      <c r="ELE34" s="672"/>
      <c r="ELF34" s="672"/>
      <c r="ELG34" s="672"/>
      <c r="ELH34" s="672"/>
      <c r="ELI34" s="672"/>
      <c r="ELJ34" s="672"/>
      <c r="ELK34" s="672"/>
      <c r="ELL34" s="672"/>
      <c r="ELM34" s="672"/>
      <c r="ELN34" s="672"/>
      <c r="ELO34" s="672"/>
      <c r="ELP34" s="672"/>
      <c r="ELQ34" s="672"/>
      <c r="ELR34" s="672"/>
      <c r="ELS34" s="672"/>
      <c r="ELT34" s="672"/>
      <c r="ELU34" s="672"/>
      <c r="ELV34" s="672"/>
      <c r="ELW34" s="672"/>
      <c r="ELX34" s="672"/>
      <c r="ELY34" s="672"/>
      <c r="ELZ34" s="672"/>
      <c r="EMA34" s="672"/>
      <c r="EMB34" s="672"/>
      <c r="EMC34" s="672"/>
      <c r="EMD34" s="672"/>
      <c r="EME34" s="672"/>
      <c r="EMF34" s="672"/>
      <c r="EMG34" s="672"/>
      <c r="EMH34" s="672"/>
      <c r="EMI34" s="672"/>
      <c r="EMJ34" s="672"/>
      <c r="EMK34" s="672"/>
      <c r="EML34" s="672"/>
      <c r="EMM34" s="672"/>
      <c r="EMN34" s="672"/>
      <c r="EMO34" s="672"/>
      <c r="EMP34" s="672"/>
      <c r="EMQ34" s="672"/>
      <c r="EMR34" s="672"/>
      <c r="EMS34" s="672"/>
      <c r="EMT34" s="672"/>
      <c r="EMU34" s="672"/>
      <c r="EMV34" s="672"/>
      <c r="EMW34" s="672"/>
      <c r="EMX34" s="672"/>
      <c r="EMY34" s="672"/>
      <c r="EMZ34" s="672"/>
      <c r="ENA34" s="672"/>
      <c r="ENB34" s="672"/>
      <c r="ENC34" s="672"/>
      <c r="END34" s="672"/>
      <c r="ENE34" s="672"/>
      <c r="ENF34" s="672"/>
      <c r="ENG34" s="672"/>
      <c r="ENH34" s="672"/>
      <c r="ENI34" s="672"/>
      <c r="ENJ34" s="672"/>
      <c r="ENK34" s="672"/>
      <c r="ENL34" s="672"/>
      <c r="ENM34" s="672"/>
      <c r="ENN34" s="672"/>
      <c r="ENO34" s="672"/>
      <c r="ENP34" s="672"/>
      <c r="ENQ34" s="672"/>
      <c r="ENR34" s="672"/>
      <c r="ENS34" s="672"/>
      <c r="ENT34" s="672"/>
      <c r="ENU34" s="672"/>
      <c r="ENV34" s="672"/>
      <c r="ENW34" s="672"/>
      <c r="ENX34" s="672"/>
      <c r="ENY34" s="672"/>
      <c r="ENZ34" s="672"/>
      <c r="EOA34" s="672"/>
      <c r="EOB34" s="672"/>
      <c r="EOC34" s="672"/>
      <c r="EOD34" s="672"/>
      <c r="EOE34" s="672"/>
      <c r="EOF34" s="672"/>
      <c r="EOG34" s="672"/>
      <c r="EOH34" s="672"/>
      <c r="EOI34" s="672"/>
      <c r="EOJ34" s="672"/>
      <c r="EOK34" s="672"/>
      <c r="EOL34" s="672"/>
      <c r="EOM34" s="672"/>
      <c r="EON34" s="672"/>
      <c r="EOO34" s="672"/>
      <c r="EOP34" s="672"/>
      <c r="EOQ34" s="672"/>
      <c r="EOR34" s="672"/>
      <c r="EOS34" s="672"/>
      <c r="EOT34" s="672"/>
      <c r="EOU34" s="672"/>
      <c r="EOV34" s="672"/>
      <c r="EOW34" s="672"/>
      <c r="EOX34" s="672"/>
      <c r="EOY34" s="672"/>
      <c r="EOZ34" s="672"/>
      <c r="EPA34" s="672"/>
      <c r="EPB34" s="672"/>
      <c r="EPC34" s="672"/>
      <c r="EPD34" s="672"/>
      <c r="EPE34" s="672"/>
      <c r="EPF34" s="672"/>
      <c r="EPG34" s="672"/>
      <c r="EPH34" s="672"/>
      <c r="EPI34" s="672"/>
      <c r="EPJ34" s="672"/>
      <c r="EPK34" s="672"/>
      <c r="EPL34" s="672"/>
      <c r="EPM34" s="672"/>
      <c r="EPN34" s="672"/>
      <c r="EPO34" s="672"/>
      <c r="EPP34" s="672"/>
      <c r="EPQ34" s="672"/>
      <c r="EPR34" s="672"/>
      <c r="EPS34" s="672"/>
      <c r="EPT34" s="672"/>
      <c r="EPU34" s="672"/>
      <c r="EPV34" s="672"/>
      <c r="EPW34" s="672"/>
      <c r="EPX34" s="672"/>
      <c r="EPY34" s="672"/>
      <c r="EPZ34" s="672"/>
      <c r="EQA34" s="672"/>
      <c r="EQB34" s="672"/>
      <c r="EQC34" s="672"/>
      <c r="EQD34" s="672"/>
      <c r="EQE34" s="672"/>
      <c r="EQF34" s="672"/>
      <c r="EQG34" s="672"/>
      <c r="EQH34" s="672"/>
      <c r="EQI34" s="672"/>
      <c r="EQJ34" s="672"/>
      <c r="EQK34" s="672"/>
      <c r="EQL34" s="672"/>
      <c r="EQM34" s="672"/>
      <c r="EQN34" s="672"/>
      <c r="EQO34" s="672"/>
      <c r="EQP34" s="672"/>
      <c r="EQQ34" s="672"/>
      <c r="EQR34" s="672"/>
      <c r="EQS34" s="672"/>
      <c r="EQT34" s="672"/>
      <c r="EQU34" s="672"/>
      <c r="EQV34" s="672"/>
      <c r="EQW34" s="672"/>
      <c r="EQX34" s="672"/>
      <c r="EQY34" s="672"/>
      <c r="EQZ34" s="672"/>
      <c r="ERA34" s="672"/>
      <c r="ERB34" s="672"/>
      <c r="ERC34" s="672"/>
      <c r="ERD34" s="672"/>
      <c r="ERE34" s="672"/>
      <c r="ERF34" s="672"/>
      <c r="ERG34" s="672"/>
      <c r="ERH34" s="672"/>
      <c r="ERI34" s="672"/>
      <c r="ERJ34" s="672"/>
      <c r="ERK34" s="672"/>
      <c r="ERL34" s="672"/>
      <c r="ERM34" s="672"/>
      <c r="ERN34" s="672"/>
      <c r="ERO34" s="672"/>
      <c r="ERP34" s="672"/>
      <c r="ERQ34" s="672"/>
      <c r="ERR34" s="672"/>
      <c r="ERS34" s="672"/>
      <c r="ERT34" s="672"/>
      <c r="ERU34" s="672"/>
      <c r="ERV34" s="672"/>
      <c r="ERW34" s="672"/>
      <c r="ERX34" s="672"/>
      <c r="ERY34" s="672"/>
      <c r="ERZ34" s="672"/>
      <c r="ESA34" s="672"/>
      <c r="ESB34" s="672"/>
      <c r="ESC34" s="672"/>
      <c r="ESD34" s="672"/>
      <c r="ESE34" s="672"/>
      <c r="ESF34" s="672"/>
      <c r="ESG34" s="672"/>
      <c r="ESH34" s="672"/>
      <c r="ESI34" s="672"/>
      <c r="ESJ34" s="672"/>
      <c r="ESK34" s="672"/>
      <c r="ESL34" s="672"/>
      <c r="ESM34" s="672"/>
      <c r="ESN34" s="672"/>
      <c r="ESO34" s="672"/>
      <c r="ESP34" s="672"/>
      <c r="ESQ34" s="672"/>
      <c r="ESR34" s="672"/>
      <c r="ESS34" s="672"/>
      <c r="EST34" s="672"/>
      <c r="ESU34" s="672"/>
      <c r="ESV34" s="672"/>
      <c r="ESW34" s="672"/>
      <c r="ESX34" s="672"/>
      <c r="ESY34" s="672"/>
      <c r="ESZ34" s="672"/>
      <c r="ETA34" s="672"/>
      <c r="ETB34" s="672"/>
      <c r="ETC34" s="672"/>
      <c r="ETD34" s="672"/>
      <c r="ETE34" s="672"/>
      <c r="ETF34" s="672"/>
      <c r="ETG34" s="672"/>
      <c r="ETH34" s="672"/>
      <c r="ETI34" s="672"/>
      <c r="ETJ34" s="672"/>
      <c r="ETK34" s="672"/>
      <c r="ETL34" s="672"/>
      <c r="ETM34" s="672"/>
      <c r="ETN34" s="672"/>
      <c r="ETO34" s="672"/>
      <c r="ETP34" s="672"/>
      <c r="ETQ34" s="672"/>
      <c r="ETR34" s="672"/>
      <c r="ETS34" s="672"/>
      <c r="ETT34" s="672"/>
      <c r="ETU34" s="672"/>
      <c r="ETV34" s="672"/>
      <c r="ETW34" s="672"/>
      <c r="ETX34" s="672"/>
      <c r="ETY34" s="672"/>
      <c r="ETZ34" s="672"/>
      <c r="EUA34" s="672"/>
      <c r="EUB34" s="672"/>
      <c r="EUC34" s="672"/>
      <c r="EUD34" s="672"/>
      <c r="EUE34" s="672"/>
      <c r="EUF34" s="672"/>
      <c r="EUG34" s="672"/>
      <c r="EUH34" s="672"/>
      <c r="EUI34" s="672"/>
      <c r="EUJ34" s="672"/>
      <c r="EUK34" s="672"/>
      <c r="EUL34" s="672"/>
      <c r="EUM34" s="672"/>
      <c r="EUN34" s="672"/>
      <c r="EUO34" s="672"/>
      <c r="EUP34" s="672"/>
      <c r="EUQ34" s="672"/>
      <c r="EUR34" s="672"/>
      <c r="EUS34" s="672"/>
      <c r="EUT34" s="672"/>
      <c r="EUU34" s="672"/>
      <c r="EUV34" s="672"/>
      <c r="EUW34" s="672"/>
      <c r="EUX34" s="672"/>
      <c r="EUY34" s="672"/>
      <c r="EUZ34" s="672"/>
      <c r="EVA34" s="672"/>
      <c r="EVB34" s="672"/>
      <c r="EVC34" s="672"/>
      <c r="EVD34" s="672"/>
      <c r="EVE34" s="672"/>
      <c r="EVF34" s="672"/>
      <c r="EVG34" s="672"/>
      <c r="EVH34" s="672"/>
      <c r="EVI34" s="672"/>
      <c r="EVJ34" s="672"/>
      <c r="EVK34" s="672"/>
      <c r="EVL34" s="672"/>
      <c r="EVM34" s="672"/>
      <c r="EVN34" s="672"/>
      <c r="EVO34" s="672"/>
      <c r="EVP34" s="672"/>
      <c r="EVQ34" s="672"/>
      <c r="EVR34" s="672"/>
      <c r="EVS34" s="672"/>
      <c r="EVT34" s="672"/>
      <c r="EVU34" s="672"/>
      <c r="EVV34" s="672"/>
      <c r="EVW34" s="672"/>
      <c r="EVX34" s="672"/>
      <c r="EVY34" s="672"/>
      <c r="EVZ34" s="672"/>
      <c r="EWA34" s="672"/>
      <c r="EWB34" s="672"/>
      <c r="EWC34" s="672"/>
      <c r="EWD34" s="672"/>
      <c r="EWE34" s="672"/>
      <c r="EWF34" s="672"/>
      <c r="EWG34" s="672"/>
      <c r="EWH34" s="672"/>
      <c r="EWI34" s="672"/>
      <c r="EWJ34" s="672"/>
      <c r="EWK34" s="672"/>
      <c r="EWL34" s="672"/>
      <c r="EWM34" s="672"/>
      <c r="EWN34" s="672"/>
      <c r="EWO34" s="672"/>
      <c r="EWP34" s="672"/>
      <c r="EWQ34" s="672"/>
      <c r="EWR34" s="672"/>
      <c r="EWS34" s="672"/>
      <c r="EWT34" s="672"/>
      <c r="EWU34" s="672"/>
      <c r="EWV34" s="672"/>
      <c r="EWW34" s="672"/>
      <c r="EWX34" s="672"/>
      <c r="EWY34" s="672"/>
      <c r="EWZ34" s="672"/>
      <c r="EXA34" s="672"/>
      <c r="EXB34" s="672"/>
      <c r="EXC34" s="672"/>
      <c r="EXD34" s="672"/>
      <c r="EXE34" s="672"/>
      <c r="EXF34" s="672"/>
      <c r="EXG34" s="672"/>
      <c r="EXH34" s="672"/>
      <c r="EXI34" s="672"/>
      <c r="EXJ34" s="672"/>
      <c r="EXK34" s="672"/>
      <c r="EXL34" s="672"/>
      <c r="EXM34" s="672"/>
      <c r="EXN34" s="672"/>
      <c r="EXO34" s="672"/>
      <c r="EXP34" s="672"/>
      <c r="EXQ34" s="672"/>
      <c r="EXR34" s="672"/>
      <c r="EXS34" s="672"/>
      <c r="EXT34" s="672"/>
      <c r="EXU34" s="672"/>
      <c r="EXV34" s="672"/>
      <c r="EXW34" s="672"/>
      <c r="EXX34" s="672"/>
      <c r="EXY34" s="672"/>
      <c r="EXZ34" s="672"/>
      <c r="EYA34" s="672"/>
      <c r="EYB34" s="672"/>
      <c r="EYC34" s="672"/>
      <c r="EYD34" s="672"/>
      <c r="EYE34" s="672"/>
      <c r="EYF34" s="672"/>
      <c r="EYG34" s="672"/>
      <c r="EYH34" s="672"/>
      <c r="EYI34" s="672"/>
      <c r="EYJ34" s="672"/>
      <c r="EYK34" s="672"/>
      <c r="EYL34" s="672"/>
      <c r="EYM34" s="672"/>
      <c r="EYN34" s="672"/>
      <c r="EYO34" s="672"/>
      <c r="EYP34" s="672"/>
      <c r="EYQ34" s="672"/>
      <c r="EYR34" s="672"/>
      <c r="EYS34" s="672"/>
      <c r="EYT34" s="672"/>
      <c r="EYU34" s="672"/>
      <c r="EYV34" s="672"/>
      <c r="EYW34" s="672"/>
      <c r="EYX34" s="672"/>
      <c r="EYY34" s="672"/>
      <c r="EYZ34" s="672"/>
      <c r="EZA34" s="672"/>
      <c r="EZB34" s="672"/>
      <c r="EZC34" s="672"/>
      <c r="EZD34" s="672"/>
      <c r="EZE34" s="672"/>
      <c r="EZF34" s="672"/>
      <c r="EZG34" s="672"/>
      <c r="EZH34" s="672"/>
      <c r="EZI34" s="672"/>
      <c r="EZJ34" s="672"/>
      <c r="EZK34" s="672"/>
      <c r="EZL34" s="672"/>
      <c r="EZM34" s="672"/>
      <c r="EZN34" s="672"/>
      <c r="EZO34" s="672"/>
      <c r="EZP34" s="672"/>
      <c r="EZQ34" s="672"/>
      <c r="EZR34" s="672"/>
      <c r="EZS34" s="672"/>
      <c r="EZT34" s="672"/>
      <c r="EZU34" s="672"/>
      <c r="EZV34" s="672"/>
      <c r="EZW34" s="672"/>
      <c r="EZX34" s="672"/>
      <c r="EZY34" s="672"/>
      <c r="EZZ34" s="672"/>
      <c r="FAA34" s="672"/>
      <c r="FAB34" s="672"/>
      <c r="FAC34" s="672"/>
      <c r="FAD34" s="672"/>
      <c r="FAE34" s="672"/>
      <c r="FAF34" s="672"/>
      <c r="FAG34" s="672"/>
      <c r="FAH34" s="672"/>
      <c r="FAI34" s="672"/>
      <c r="FAJ34" s="672"/>
      <c r="FAK34" s="672"/>
      <c r="FAL34" s="672"/>
      <c r="FAM34" s="672"/>
      <c r="FAN34" s="672"/>
      <c r="FAO34" s="672"/>
      <c r="FAP34" s="672"/>
      <c r="FAQ34" s="672"/>
      <c r="FAR34" s="672"/>
      <c r="FAS34" s="672"/>
      <c r="FAT34" s="672"/>
      <c r="FAU34" s="672"/>
      <c r="FAV34" s="672"/>
      <c r="FAW34" s="672"/>
      <c r="FAX34" s="672"/>
      <c r="FAY34" s="672"/>
      <c r="FAZ34" s="672"/>
      <c r="FBA34" s="672"/>
      <c r="FBB34" s="672"/>
      <c r="FBC34" s="672"/>
      <c r="FBD34" s="672"/>
      <c r="FBE34" s="672"/>
      <c r="FBF34" s="672"/>
      <c r="FBG34" s="672"/>
      <c r="FBH34" s="672"/>
      <c r="FBI34" s="672"/>
      <c r="FBJ34" s="672"/>
      <c r="FBK34" s="672"/>
      <c r="FBL34" s="672"/>
      <c r="FBM34" s="672"/>
      <c r="FBN34" s="672"/>
      <c r="FBO34" s="672"/>
      <c r="FBP34" s="672"/>
      <c r="FBQ34" s="672"/>
      <c r="FBR34" s="672"/>
      <c r="FBS34" s="672"/>
      <c r="FBT34" s="672"/>
      <c r="FBU34" s="672"/>
      <c r="FBV34" s="672"/>
      <c r="FBW34" s="672"/>
      <c r="FBX34" s="672"/>
      <c r="FBY34" s="672"/>
      <c r="FBZ34" s="672"/>
      <c r="FCA34" s="672"/>
      <c r="FCB34" s="672"/>
      <c r="FCC34" s="672"/>
      <c r="FCD34" s="672"/>
      <c r="FCE34" s="672"/>
      <c r="FCF34" s="672"/>
      <c r="FCG34" s="672"/>
      <c r="FCH34" s="672"/>
      <c r="FCI34" s="672"/>
      <c r="FCJ34" s="672"/>
      <c r="FCK34" s="672"/>
      <c r="FCL34" s="672"/>
      <c r="FCM34" s="672"/>
      <c r="FCN34" s="672"/>
      <c r="FCO34" s="672"/>
      <c r="FCP34" s="672"/>
      <c r="FCQ34" s="672"/>
      <c r="FCR34" s="672"/>
      <c r="FCS34" s="672"/>
      <c r="FCT34" s="672"/>
      <c r="FCU34" s="672"/>
      <c r="FCV34" s="672"/>
      <c r="FCW34" s="672"/>
      <c r="FCX34" s="672"/>
      <c r="FCY34" s="672"/>
      <c r="FCZ34" s="672"/>
      <c r="FDA34" s="672"/>
      <c r="FDB34" s="672"/>
      <c r="FDC34" s="672"/>
      <c r="FDD34" s="672"/>
      <c r="FDE34" s="672"/>
      <c r="FDF34" s="672"/>
      <c r="FDG34" s="672"/>
      <c r="FDH34" s="672"/>
      <c r="FDI34" s="672"/>
      <c r="FDJ34" s="672"/>
      <c r="FDK34" s="672"/>
      <c r="FDL34" s="672"/>
      <c r="FDM34" s="672"/>
      <c r="FDN34" s="672"/>
      <c r="FDO34" s="672"/>
      <c r="FDP34" s="672"/>
      <c r="FDQ34" s="672"/>
      <c r="FDR34" s="672"/>
      <c r="FDS34" s="672"/>
      <c r="FDT34" s="672"/>
      <c r="FDU34" s="672"/>
      <c r="FDV34" s="672"/>
      <c r="FDW34" s="672"/>
      <c r="FDX34" s="672"/>
      <c r="FDY34" s="672"/>
      <c r="FDZ34" s="672"/>
      <c r="FEA34" s="672"/>
      <c r="FEB34" s="672"/>
      <c r="FEC34" s="672"/>
      <c r="FED34" s="672"/>
      <c r="FEE34" s="672"/>
      <c r="FEF34" s="672"/>
      <c r="FEG34" s="672"/>
      <c r="FEH34" s="672"/>
      <c r="FEI34" s="672"/>
      <c r="FEJ34" s="672"/>
      <c r="FEK34" s="672"/>
      <c r="FEL34" s="672"/>
      <c r="FEM34" s="672"/>
      <c r="FEN34" s="672"/>
      <c r="FEO34" s="672"/>
      <c r="FEP34" s="672"/>
      <c r="FEQ34" s="672"/>
      <c r="FER34" s="672"/>
      <c r="FES34" s="672"/>
      <c r="FET34" s="672"/>
      <c r="FEU34" s="672"/>
      <c r="FEV34" s="672"/>
      <c r="FEW34" s="672"/>
      <c r="FEX34" s="672"/>
      <c r="FEY34" s="672"/>
      <c r="FEZ34" s="672"/>
      <c r="FFA34" s="672"/>
      <c r="FFB34" s="672"/>
      <c r="FFC34" s="672"/>
      <c r="FFD34" s="672"/>
      <c r="FFE34" s="672"/>
      <c r="FFF34" s="672"/>
      <c r="FFG34" s="672"/>
      <c r="FFH34" s="672"/>
      <c r="FFI34" s="672"/>
      <c r="FFJ34" s="672"/>
      <c r="FFK34" s="672"/>
      <c r="FFL34" s="672"/>
      <c r="FFM34" s="672"/>
      <c r="FFN34" s="672"/>
      <c r="FFO34" s="672"/>
      <c r="FFP34" s="672"/>
      <c r="FFQ34" s="672"/>
      <c r="FFR34" s="672"/>
      <c r="FFS34" s="672"/>
      <c r="FFT34" s="672"/>
      <c r="FFU34" s="672"/>
      <c r="FFV34" s="672"/>
      <c r="FFW34" s="672"/>
      <c r="FFX34" s="672"/>
      <c r="FFY34" s="672"/>
      <c r="FFZ34" s="672"/>
      <c r="FGA34" s="672"/>
      <c r="FGB34" s="672"/>
      <c r="FGC34" s="672"/>
      <c r="FGD34" s="672"/>
      <c r="FGE34" s="672"/>
      <c r="FGF34" s="672"/>
      <c r="FGG34" s="672"/>
      <c r="FGH34" s="672"/>
      <c r="FGI34" s="672"/>
      <c r="FGJ34" s="672"/>
      <c r="FGK34" s="672"/>
      <c r="FGL34" s="672"/>
      <c r="FGM34" s="672"/>
      <c r="FGN34" s="672"/>
      <c r="FGO34" s="672"/>
      <c r="FGP34" s="672"/>
      <c r="FGQ34" s="672"/>
      <c r="FGR34" s="672"/>
      <c r="FGS34" s="672"/>
      <c r="FGT34" s="672"/>
      <c r="FGU34" s="672"/>
      <c r="FGV34" s="672"/>
      <c r="FGW34" s="672"/>
      <c r="FGX34" s="672"/>
      <c r="FGY34" s="672"/>
      <c r="FGZ34" s="672"/>
      <c r="FHA34" s="672"/>
      <c r="FHB34" s="672"/>
      <c r="FHC34" s="672"/>
      <c r="FHD34" s="672"/>
      <c r="FHE34" s="672"/>
      <c r="FHF34" s="672"/>
      <c r="FHG34" s="672"/>
      <c r="FHH34" s="672"/>
      <c r="FHI34" s="672"/>
      <c r="FHJ34" s="672"/>
      <c r="FHK34" s="672"/>
      <c r="FHL34" s="672"/>
      <c r="FHM34" s="672"/>
      <c r="FHN34" s="672"/>
      <c r="FHO34" s="672"/>
      <c r="FHP34" s="672"/>
      <c r="FHQ34" s="672"/>
      <c r="FHR34" s="672"/>
      <c r="FHS34" s="672"/>
      <c r="FHT34" s="672"/>
      <c r="FHU34" s="672"/>
      <c r="FHV34" s="672"/>
      <c r="FHW34" s="672"/>
      <c r="FHX34" s="672"/>
      <c r="FHY34" s="672"/>
      <c r="FHZ34" s="672"/>
      <c r="FIA34" s="672"/>
      <c r="FIB34" s="672"/>
      <c r="FIC34" s="672"/>
      <c r="FID34" s="672"/>
      <c r="FIE34" s="672"/>
      <c r="FIF34" s="672"/>
      <c r="FIG34" s="672"/>
      <c r="FIH34" s="672"/>
      <c r="FII34" s="672"/>
      <c r="FIJ34" s="672"/>
      <c r="FIK34" s="672"/>
      <c r="FIL34" s="672"/>
      <c r="FIM34" s="672"/>
      <c r="FIN34" s="672"/>
      <c r="FIO34" s="672"/>
      <c r="FIP34" s="672"/>
      <c r="FIQ34" s="672"/>
      <c r="FIR34" s="672"/>
      <c r="FIS34" s="672"/>
      <c r="FIT34" s="672"/>
      <c r="FIU34" s="672"/>
      <c r="FIV34" s="672"/>
      <c r="FIW34" s="672"/>
      <c r="FIX34" s="672"/>
      <c r="FIY34" s="672"/>
      <c r="FIZ34" s="672"/>
      <c r="FJA34" s="672"/>
      <c r="FJB34" s="672"/>
      <c r="FJC34" s="672"/>
      <c r="FJD34" s="672"/>
      <c r="FJE34" s="672"/>
      <c r="FJF34" s="672"/>
      <c r="FJG34" s="672"/>
      <c r="FJH34" s="672"/>
      <c r="FJI34" s="672"/>
      <c r="FJJ34" s="672"/>
      <c r="FJK34" s="672"/>
      <c r="FJL34" s="672"/>
      <c r="FJM34" s="672"/>
      <c r="FJN34" s="672"/>
      <c r="FJO34" s="672"/>
      <c r="FJP34" s="672"/>
      <c r="FJQ34" s="672"/>
      <c r="FJR34" s="672"/>
      <c r="FJS34" s="672"/>
      <c r="FJT34" s="672"/>
      <c r="FJU34" s="672"/>
      <c r="FJV34" s="672"/>
      <c r="FJW34" s="672"/>
      <c r="FJX34" s="672"/>
      <c r="FJY34" s="672"/>
      <c r="FJZ34" s="672"/>
      <c r="FKA34" s="672"/>
      <c r="FKB34" s="672"/>
      <c r="FKC34" s="672"/>
      <c r="FKD34" s="672"/>
      <c r="FKE34" s="672"/>
      <c r="FKF34" s="672"/>
      <c r="FKG34" s="672"/>
      <c r="FKH34" s="672"/>
      <c r="FKI34" s="672"/>
      <c r="FKJ34" s="672"/>
      <c r="FKK34" s="672"/>
      <c r="FKL34" s="672"/>
      <c r="FKM34" s="672"/>
      <c r="FKN34" s="672"/>
      <c r="FKO34" s="672"/>
      <c r="FKP34" s="672"/>
      <c r="FKQ34" s="672"/>
      <c r="FKR34" s="672"/>
      <c r="FKS34" s="672"/>
      <c r="FKT34" s="672"/>
      <c r="FKU34" s="672"/>
      <c r="FKV34" s="672"/>
      <c r="FKW34" s="672"/>
      <c r="FKX34" s="672"/>
      <c r="FKY34" s="672"/>
      <c r="FKZ34" s="672"/>
      <c r="FLA34" s="672"/>
      <c r="FLB34" s="672"/>
      <c r="FLC34" s="672"/>
      <c r="FLD34" s="672"/>
      <c r="FLE34" s="672"/>
      <c r="FLF34" s="672"/>
      <c r="FLG34" s="672"/>
      <c r="FLH34" s="672"/>
      <c r="FLI34" s="672"/>
      <c r="FLJ34" s="672"/>
      <c r="FLK34" s="672"/>
      <c r="FLL34" s="672"/>
      <c r="FLM34" s="672"/>
      <c r="FLN34" s="672"/>
      <c r="FLO34" s="672"/>
      <c r="FLP34" s="672"/>
      <c r="FLQ34" s="672"/>
      <c r="FLR34" s="672"/>
      <c r="FLS34" s="672"/>
      <c r="FLT34" s="672"/>
      <c r="FLU34" s="672"/>
      <c r="FLV34" s="672"/>
      <c r="FLW34" s="672"/>
      <c r="FLX34" s="672"/>
      <c r="FLY34" s="672"/>
      <c r="FLZ34" s="672"/>
      <c r="FMA34" s="672"/>
      <c r="FMB34" s="672"/>
      <c r="FMC34" s="672"/>
      <c r="FMD34" s="672"/>
      <c r="FME34" s="672"/>
      <c r="FMF34" s="672"/>
      <c r="FMG34" s="672"/>
      <c r="FMH34" s="672"/>
      <c r="FMI34" s="672"/>
      <c r="FMJ34" s="672"/>
      <c r="FMK34" s="672"/>
      <c r="FML34" s="672"/>
      <c r="FMM34" s="672"/>
      <c r="FMN34" s="672"/>
      <c r="FMO34" s="672"/>
      <c r="FMP34" s="672"/>
      <c r="FMQ34" s="672"/>
      <c r="FMR34" s="672"/>
      <c r="FMS34" s="672"/>
      <c r="FMT34" s="672"/>
      <c r="FMU34" s="672"/>
      <c r="FMV34" s="672"/>
      <c r="FMW34" s="672"/>
      <c r="FMX34" s="672"/>
      <c r="FMY34" s="672"/>
      <c r="FMZ34" s="672"/>
      <c r="FNA34" s="672"/>
      <c r="FNB34" s="672"/>
      <c r="FNC34" s="672"/>
      <c r="FND34" s="672"/>
      <c r="FNE34" s="672"/>
      <c r="FNF34" s="672"/>
      <c r="FNG34" s="672"/>
      <c r="FNH34" s="672"/>
      <c r="FNI34" s="672"/>
      <c r="FNJ34" s="672"/>
      <c r="FNK34" s="672"/>
      <c r="FNL34" s="672"/>
      <c r="FNM34" s="672"/>
      <c r="FNN34" s="672"/>
      <c r="FNO34" s="672"/>
      <c r="FNP34" s="672"/>
      <c r="FNQ34" s="672"/>
      <c r="FNR34" s="672"/>
      <c r="FNS34" s="672"/>
      <c r="FNT34" s="672"/>
      <c r="FNU34" s="672"/>
      <c r="FNV34" s="672"/>
      <c r="FNW34" s="672"/>
      <c r="FNX34" s="672"/>
      <c r="FNY34" s="672"/>
      <c r="FNZ34" s="672"/>
      <c r="FOA34" s="672"/>
      <c r="FOB34" s="672"/>
      <c r="FOC34" s="672"/>
      <c r="FOD34" s="672"/>
      <c r="FOE34" s="672"/>
      <c r="FOF34" s="672"/>
      <c r="FOG34" s="672"/>
      <c r="FOH34" s="672"/>
      <c r="FOI34" s="672"/>
      <c r="FOJ34" s="672"/>
      <c r="FOK34" s="672"/>
      <c r="FOL34" s="672"/>
      <c r="FOM34" s="672"/>
      <c r="FON34" s="672"/>
      <c r="FOO34" s="672"/>
      <c r="FOP34" s="672"/>
      <c r="FOQ34" s="672"/>
      <c r="FOR34" s="672"/>
      <c r="FOS34" s="672"/>
      <c r="FOT34" s="672"/>
      <c r="FOU34" s="672"/>
      <c r="FOV34" s="672"/>
      <c r="FOW34" s="672"/>
      <c r="FOX34" s="672"/>
      <c r="FOY34" s="672"/>
      <c r="FOZ34" s="672"/>
      <c r="FPA34" s="672"/>
      <c r="FPB34" s="672"/>
      <c r="FPC34" s="672"/>
      <c r="FPD34" s="672"/>
      <c r="FPE34" s="672"/>
      <c r="FPF34" s="672"/>
      <c r="FPG34" s="672"/>
      <c r="FPH34" s="672"/>
      <c r="FPI34" s="672"/>
      <c r="FPJ34" s="672"/>
      <c r="FPK34" s="672"/>
      <c r="FPL34" s="672"/>
      <c r="FPM34" s="672"/>
      <c r="FPN34" s="672"/>
      <c r="FPO34" s="672"/>
      <c r="FPP34" s="672"/>
      <c r="FPQ34" s="672"/>
      <c r="FPR34" s="672"/>
      <c r="FPS34" s="672"/>
      <c r="FPT34" s="672"/>
      <c r="FPU34" s="672"/>
      <c r="FPV34" s="672"/>
      <c r="FPW34" s="672"/>
      <c r="FPX34" s="672"/>
      <c r="FPY34" s="672"/>
      <c r="FPZ34" s="672"/>
      <c r="FQA34" s="672"/>
      <c r="FQB34" s="672"/>
      <c r="FQC34" s="672"/>
      <c r="FQD34" s="672"/>
      <c r="FQE34" s="672"/>
      <c r="FQF34" s="672"/>
      <c r="FQG34" s="672"/>
      <c r="FQH34" s="672"/>
      <c r="FQI34" s="672"/>
      <c r="FQJ34" s="672"/>
      <c r="FQK34" s="672"/>
      <c r="FQL34" s="672"/>
      <c r="FQM34" s="672"/>
      <c r="FQN34" s="672"/>
      <c r="FQO34" s="672"/>
      <c r="FQP34" s="672"/>
      <c r="FQQ34" s="672"/>
      <c r="FQR34" s="672"/>
      <c r="FQS34" s="672"/>
      <c r="FQT34" s="672"/>
      <c r="FQU34" s="672"/>
      <c r="FQV34" s="672"/>
      <c r="FQW34" s="672"/>
      <c r="FQX34" s="672"/>
      <c r="FQY34" s="672"/>
      <c r="FQZ34" s="672"/>
      <c r="FRA34" s="672"/>
      <c r="FRB34" s="672"/>
      <c r="FRC34" s="672"/>
      <c r="FRD34" s="672"/>
      <c r="FRE34" s="672"/>
      <c r="FRF34" s="672"/>
      <c r="FRG34" s="672"/>
      <c r="FRH34" s="672"/>
      <c r="FRI34" s="672"/>
      <c r="FRJ34" s="672"/>
      <c r="FRK34" s="672"/>
      <c r="FRL34" s="672"/>
      <c r="FRM34" s="672"/>
      <c r="FRN34" s="672"/>
      <c r="FRO34" s="672"/>
      <c r="FRP34" s="672"/>
      <c r="FRQ34" s="672"/>
      <c r="FRR34" s="672"/>
      <c r="FRS34" s="672"/>
      <c r="FRT34" s="672"/>
      <c r="FRU34" s="672"/>
      <c r="FRV34" s="672"/>
      <c r="FRW34" s="672"/>
      <c r="FRX34" s="672"/>
      <c r="FRY34" s="672"/>
      <c r="FRZ34" s="672"/>
      <c r="FSA34" s="672"/>
      <c r="FSB34" s="672"/>
      <c r="FSC34" s="672"/>
      <c r="FSD34" s="672"/>
      <c r="FSE34" s="672"/>
      <c r="FSF34" s="672"/>
      <c r="FSG34" s="672"/>
      <c r="FSH34" s="672"/>
      <c r="FSI34" s="672"/>
      <c r="FSJ34" s="672"/>
      <c r="FSK34" s="672"/>
      <c r="FSL34" s="672"/>
      <c r="FSM34" s="672"/>
      <c r="FSN34" s="672"/>
      <c r="FSO34" s="672"/>
      <c r="FSP34" s="672"/>
      <c r="FSQ34" s="672"/>
      <c r="FSR34" s="672"/>
      <c r="FSS34" s="672"/>
      <c r="FST34" s="672"/>
      <c r="FSU34" s="672"/>
      <c r="FSV34" s="672"/>
      <c r="FSW34" s="672"/>
      <c r="FSX34" s="672"/>
      <c r="FSY34" s="672"/>
      <c r="FSZ34" s="672"/>
      <c r="FTA34" s="672"/>
      <c r="FTB34" s="672"/>
      <c r="FTC34" s="672"/>
      <c r="FTD34" s="672"/>
      <c r="FTE34" s="672"/>
      <c r="FTF34" s="672"/>
      <c r="FTG34" s="672"/>
      <c r="FTH34" s="672"/>
      <c r="FTI34" s="672"/>
      <c r="FTJ34" s="672"/>
      <c r="FTK34" s="672"/>
      <c r="FTL34" s="672"/>
      <c r="FTM34" s="672"/>
      <c r="FTN34" s="672"/>
      <c r="FTO34" s="672"/>
      <c r="FTP34" s="672"/>
      <c r="FTQ34" s="672"/>
      <c r="FTR34" s="672"/>
      <c r="FTS34" s="672"/>
      <c r="FTT34" s="672"/>
      <c r="FTU34" s="672"/>
      <c r="FTV34" s="672"/>
      <c r="FTW34" s="672"/>
      <c r="FTX34" s="672"/>
      <c r="FTY34" s="672"/>
      <c r="FTZ34" s="672"/>
      <c r="FUA34" s="672"/>
      <c r="FUB34" s="672"/>
      <c r="FUC34" s="672"/>
      <c r="FUD34" s="672"/>
      <c r="FUE34" s="672"/>
      <c r="FUF34" s="672"/>
      <c r="FUG34" s="672"/>
      <c r="FUH34" s="672"/>
      <c r="FUI34" s="672"/>
      <c r="FUJ34" s="672"/>
      <c r="FUK34" s="672"/>
      <c r="FUL34" s="672"/>
      <c r="FUM34" s="672"/>
      <c r="FUN34" s="672"/>
      <c r="FUO34" s="672"/>
      <c r="FUP34" s="672"/>
      <c r="FUQ34" s="672"/>
      <c r="FUR34" s="672"/>
      <c r="FUS34" s="672"/>
      <c r="FUT34" s="672"/>
      <c r="FUU34" s="672"/>
      <c r="FUV34" s="672"/>
      <c r="FUW34" s="672"/>
      <c r="FUX34" s="672"/>
      <c r="FUY34" s="672"/>
      <c r="FUZ34" s="672"/>
      <c r="FVA34" s="672"/>
      <c r="FVB34" s="672"/>
      <c r="FVC34" s="672"/>
      <c r="FVD34" s="672"/>
      <c r="FVE34" s="672"/>
      <c r="FVF34" s="672"/>
      <c r="FVG34" s="672"/>
      <c r="FVH34" s="672"/>
      <c r="FVI34" s="672"/>
      <c r="FVJ34" s="672"/>
      <c r="FVK34" s="672"/>
      <c r="FVL34" s="672"/>
      <c r="FVM34" s="672"/>
      <c r="FVN34" s="672"/>
      <c r="FVO34" s="672"/>
      <c r="FVP34" s="672"/>
      <c r="FVQ34" s="672"/>
      <c r="FVR34" s="672"/>
      <c r="FVS34" s="672"/>
      <c r="FVT34" s="672"/>
      <c r="FVU34" s="672"/>
      <c r="FVV34" s="672"/>
      <c r="FVW34" s="672"/>
      <c r="FVX34" s="672"/>
      <c r="FVY34" s="672"/>
      <c r="FVZ34" s="672"/>
      <c r="FWA34" s="672"/>
      <c r="FWB34" s="672"/>
      <c r="FWC34" s="672"/>
      <c r="FWD34" s="672"/>
      <c r="FWE34" s="672"/>
      <c r="FWF34" s="672"/>
      <c r="FWG34" s="672"/>
      <c r="FWH34" s="672"/>
      <c r="FWI34" s="672"/>
      <c r="FWJ34" s="672"/>
      <c r="FWK34" s="672"/>
      <c r="FWL34" s="672"/>
      <c r="FWM34" s="672"/>
      <c r="FWN34" s="672"/>
      <c r="FWO34" s="672"/>
      <c r="FWP34" s="672"/>
      <c r="FWQ34" s="672"/>
      <c r="FWR34" s="672"/>
      <c r="FWS34" s="672"/>
      <c r="FWT34" s="672"/>
      <c r="FWU34" s="672"/>
      <c r="FWV34" s="672"/>
      <c r="FWW34" s="672"/>
      <c r="FWX34" s="672"/>
      <c r="FWY34" s="672"/>
      <c r="FWZ34" s="672"/>
      <c r="FXA34" s="672"/>
      <c r="FXB34" s="672"/>
      <c r="FXC34" s="672"/>
      <c r="FXD34" s="672"/>
      <c r="FXE34" s="672"/>
      <c r="FXF34" s="672"/>
      <c r="FXG34" s="672"/>
      <c r="FXH34" s="672"/>
      <c r="FXI34" s="672"/>
      <c r="FXJ34" s="672"/>
      <c r="FXK34" s="672"/>
      <c r="FXL34" s="672"/>
      <c r="FXM34" s="672"/>
      <c r="FXN34" s="672"/>
      <c r="FXO34" s="672"/>
      <c r="FXP34" s="672"/>
      <c r="FXQ34" s="672"/>
      <c r="FXR34" s="672"/>
      <c r="FXS34" s="672"/>
      <c r="FXT34" s="672"/>
      <c r="FXU34" s="672"/>
      <c r="FXV34" s="672"/>
      <c r="FXW34" s="672"/>
      <c r="FXX34" s="672"/>
      <c r="FXY34" s="672"/>
      <c r="FXZ34" s="672"/>
      <c r="FYA34" s="672"/>
      <c r="FYB34" s="672"/>
      <c r="FYC34" s="672"/>
      <c r="FYD34" s="672"/>
      <c r="FYE34" s="672"/>
      <c r="FYF34" s="672"/>
      <c r="FYG34" s="672"/>
      <c r="FYH34" s="672"/>
      <c r="FYI34" s="672"/>
      <c r="FYJ34" s="672"/>
      <c r="FYK34" s="672"/>
      <c r="FYL34" s="672"/>
      <c r="FYM34" s="672"/>
      <c r="FYN34" s="672"/>
      <c r="FYO34" s="672"/>
      <c r="FYP34" s="672"/>
      <c r="FYQ34" s="672"/>
      <c r="FYR34" s="672"/>
      <c r="FYS34" s="672"/>
      <c r="FYT34" s="672"/>
      <c r="FYU34" s="672"/>
      <c r="FYV34" s="672"/>
      <c r="FYW34" s="672"/>
      <c r="FYX34" s="672"/>
      <c r="FYY34" s="672"/>
      <c r="FYZ34" s="672"/>
      <c r="FZA34" s="672"/>
      <c r="FZB34" s="672"/>
      <c r="FZC34" s="672"/>
      <c r="FZD34" s="672"/>
      <c r="FZE34" s="672"/>
      <c r="FZF34" s="672"/>
      <c r="FZG34" s="672"/>
      <c r="FZH34" s="672"/>
      <c r="FZI34" s="672"/>
      <c r="FZJ34" s="672"/>
      <c r="FZK34" s="672"/>
      <c r="FZL34" s="672"/>
      <c r="FZM34" s="672"/>
      <c r="FZN34" s="672"/>
      <c r="FZO34" s="672"/>
      <c r="FZP34" s="672"/>
      <c r="FZQ34" s="672"/>
      <c r="FZR34" s="672"/>
      <c r="FZS34" s="672"/>
      <c r="FZT34" s="672"/>
      <c r="FZU34" s="672"/>
      <c r="FZV34" s="672"/>
      <c r="FZW34" s="672"/>
      <c r="FZX34" s="672"/>
      <c r="FZY34" s="672"/>
      <c r="FZZ34" s="672"/>
      <c r="GAA34" s="672"/>
      <c r="GAB34" s="672"/>
      <c r="GAC34" s="672"/>
      <c r="GAD34" s="672"/>
      <c r="GAE34" s="672"/>
      <c r="GAF34" s="672"/>
      <c r="GAG34" s="672"/>
      <c r="GAH34" s="672"/>
      <c r="GAI34" s="672"/>
      <c r="GAJ34" s="672"/>
      <c r="GAK34" s="672"/>
      <c r="GAL34" s="672"/>
      <c r="GAM34" s="672"/>
      <c r="GAN34" s="672"/>
      <c r="GAO34" s="672"/>
      <c r="GAP34" s="672"/>
      <c r="GAQ34" s="672"/>
      <c r="GAR34" s="672"/>
      <c r="GAS34" s="672"/>
      <c r="GAT34" s="672"/>
      <c r="GAU34" s="672"/>
      <c r="GAV34" s="672"/>
      <c r="GAW34" s="672"/>
      <c r="GAX34" s="672"/>
      <c r="GAY34" s="672"/>
      <c r="GAZ34" s="672"/>
      <c r="GBA34" s="672"/>
      <c r="GBB34" s="672"/>
      <c r="GBC34" s="672"/>
      <c r="GBD34" s="672"/>
      <c r="GBE34" s="672"/>
      <c r="GBF34" s="672"/>
      <c r="GBG34" s="672"/>
      <c r="GBH34" s="672"/>
      <c r="GBI34" s="672"/>
      <c r="GBJ34" s="672"/>
      <c r="GBK34" s="672"/>
      <c r="GBL34" s="672"/>
      <c r="GBM34" s="672"/>
      <c r="GBN34" s="672"/>
      <c r="GBO34" s="672"/>
      <c r="GBP34" s="672"/>
      <c r="GBQ34" s="672"/>
      <c r="GBR34" s="672"/>
      <c r="GBS34" s="672"/>
      <c r="GBT34" s="672"/>
      <c r="GBU34" s="672"/>
      <c r="GBV34" s="672"/>
      <c r="GBW34" s="672"/>
      <c r="GBX34" s="672"/>
      <c r="GBY34" s="672"/>
      <c r="GBZ34" s="672"/>
      <c r="GCA34" s="672"/>
      <c r="GCB34" s="672"/>
      <c r="GCC34" s="672"/>
      <c r="GCD34" s="672"/>
      <c r="GCE34" s="672"/>
      <c r="GCF34" s="672"/>
      <c r="GCG34" s="672"/>
      <c r="GCH34" s="672"/>
      <c r="GCI34" s="672"/>
      <c r="GCJ34" s="672"/>
      <c r="GCK34" s="672"/>
      <c r="GCL34" s="672"/>
      <c r="GCM34" s="672"/>
      <c r="GCN34" s="672"/>
      <c r="GCO34" s="672"/>
      <c r="GCP34" s="672"/>
      <c r="GCQ34" s="672"/>
      <c r="GCR34" s="672"/>
      <c r="GCS34" s="672"/>
      <c r="GCT34" s="672"/>
      <c r="GCU34" s="672"/>
      <c r="GCV34" s="672"/>
      <c r="GCW34" s="672"/>
      <c r="GCX34" s="672"/>
      <c r="GCY34" s="672"/>
      <c r="GCZ34" s="672"/>
      <c r="GDA34" s="672"/>
      <c r="GDB34" s="672"/>
      <c r="GDC34" s="672"/>
      <c r="GDD34" s="672"/>
      <c r="GDE34" s="672"/>
      <c r="GDF34" s="672"/>
      <c r="GDG34" s="672"/>
      <c r="GDH34" s="672"/>
      <c r="GDI34" s="672"/>
      <c r="GDJ34" s="672"/>
      <c r="GDK34" s="672"/>
      <c r="GDL34" s="672"/>
      <c r="GDM34" s="672"/>
      <c r="GDN34" s="672"/>
      <c r="GDO34" s="672"/>
      <c r="GDP34" s="672"/>
      <c r="GDQ34" s="672"/>
      <c r="GDR34" s="672"/>
      <c r="GDS34" s="672"/>
      <c r="GDT34" s="672"/>
      <c r="GDU34" s="672"/>
      <c r="GDV34" s="672"/>
      <c r="GDW34" s="672"/>
      <c r="GDX34" s="672"/>
      <c r="GDY34" s="672"/>
      <c r="GDZ34" s="672"/>
      <c r="GEA34" s="672"/>
      <c r="GEB34" s="672"/>
      <c r="GEC34" s="672"/>
      <c r="GED34" s="672"/>
      <c r="GEE34" s="672"/>
      <c r="GEF34" s="672"/>
      <c r="GEG34" s="672"/>
      <c r="GEH34" s="672"/>
      <c r="GEI34" s="672"/>
      <c r="GEJ34" s="672"/>
      <c r="GEK34" s="672"/>
      <c r="GEL34" s="672"/>
      <c r="GEM34" s="672"/>
      <c r="GEN34" s="672"/>
      <c r="GEO34" s="672"/>
      <c r="GEP34" s="672"/>
      <c r="GEQ34" s="672"/>
      <c r="GER34" s="672"/>
      <c r="GES34" s="672"/>
      <c r="GET34" s="672"/>
      <c r="GEU34" s="672"/>
      <c r="GEV34" s="672"/>
      <c r="GEW34" s="672"/>
      <c r="GEX34" s="672"/>
      <c r="GEY34" s="672"/>
      <c r="GEZ34" s="672"/>
      <c r="GFA34" s="672"/>
      <c r="GFB34" s="672"/>
      <c r="GFC34" s="672"/>
      <c r="GFD34" s="672"/>
      <c r="GFE34" s="672"/>
      <c r="GFF34" s="672"/>
      <c r="GFG34" s="672"/>
      <c r="GFH34" s="672"/>
      <c r="GFI34" s="672"/>
      <c r="GFJ34" s="672"/>
      <c r="GFK34" s="672"/>
      <c r="GFL34" s="672"/>
      <c r="GFM34" s="672"/>
      <c r="GFN34" s="672"/>
      <c r="GFO34" s="672"/>
      <c r="GFP34" s="672"/>
      <c r="GFQ34" s="672"/>
      <c r="GFR34" s="672"/>
      <c r="GFS34" s="672"/>
      <c r="GFT34" s="672"/>
      <c r="GFU34" s="672"/>
      <c r="GFV34" s="672"/>
      <c r="GFW34" s="672"/>
      <c r="GFX34" s="672"/>
      <c r="GFY34" s="672"/>
      <c r="GFZ34" s="672"/>
      <c r="GGA34" s="672"/>
      <c r="GGB34" s="672"/>
      <c r="GGC34" s="672"/>
      <c r="GGD34" s="672"/>
      <c r="GGE34" s="672"/>
      <c r="GGF34" s="672"/>
      <c r="GGG34" s="672"/>
      <c r="GGH34" s="672"/>
      <c r="GGI34" s="672"/>
      <c r="GGJ34" s="672"/>
      <c r="GGK34" s="672"/>
      <c r="GGL34" s="672"/>
      <c r="GGM34" s="672"/>
      <c r="GGN34" s="672"/>
      <c r="GGO34" s="672"/>
      <c r="GGP34" s="672"/>
      <c r="GGQ34" s="672"/>
      <c r="GGR34" s="672"/>
      <c r="GGS34" s="672"/>
      <c r="GGT34" s="672"/>
      <c r="GGU34" s="672"/>
      <c r="GGV34" s="672"/>
      <c r="GGW34" s="672"/>
      <c r="GGX34" s="672"/>
      <c r="GGY34" s="672"/>
      <c r="GGZ34" s="672"/>
      <c r="GHA34" s="672"/>
      <c r="GHB34" s="672"/>
      <c r="GHC34" s="672"/>
      <c r="GHD34" s="672"/>
      <c r="GHE34" s="672"/>
      <c r="GHF34" s="672"/>
      <c r="GHG34" s="672"/>
      <c r="GHH34" s="672"/>
      <c r="GHI34" s="672"/>
      <c r="GHJ34" s="672"/>
      <c r="GHK34" s="672"/>
      <c r="GHL34" s="672"/>
      <c r="GHM34" s="672"/>
      <c r="GHN34" s="672"/>
      <c r="GHO34" s="672"/>
      <c r="GHP34" s="672"/>
      <c r="GHQ34" s="672"/>
      <c r="GHR34" s="672"/>
      <c r="GHS34" s="672"/>
      <c r="GHT34" s="672"/>
      <c r="GHU34" s="672"/>
      <c r="GHV34" s="672"/>
      <c r="GHW34" s="672"/>
      <c r="GHX34" s="672"/>
      <c r="GHY34" s="672"/>
      <c r="GHZ34" s="672"/>
      <c r="GIA34" s="672"/>
      <c r="GIB34" s="672"/>
      <c r="GIC34" s="672"/>
      <c r="GID34" s="672"/>
      <c r="GIE34" s="672"/>
      <c r="GIF34" s="672"/>
      <c r="GIG34" s="672"/>
      <c r="GIH34" s="672"/>
      <c r="GII34" s="672"/>
      <c r="GIJ34" s="672"/>
      <c r="GIK34" s="672"/>
      <c r="GIL34" s="672"/>
      <c r="GIM34" s="672"/>
      <c r="GIN34" s="672"/>
      <c r="GIO34" s="672"/>
      <c r="GIP34" s="672"/>
      <c r="GIQ34" s="672"/>
      <c r="GIR34" s="672"/>
      <c r="GIS34" s="672"/>
      <c r="GIT34" s="672"/>
      <c r="GIU34" s="672"/>
      <c r="GIV34" s="672"/>
      <c r="GIW34" s="672"/>
      <c r="GIX34" s="672"/>
      <c r="GIY34" s="672"/>
      <c r="GIZ34" s="672"/>
      <c r="GJA34" s="672"/>
      <c r="GJB34" s="672"/>
      <c r="GJC34" s="672"/>
      <c r="GJD34" s="672"/>
      <c r="GJE34" s="672"/>
      <c r="GJF34" s="672"/>
      <c r="GJG34" s="672"/>
      <c r="GJH34" s="672"/>
      <c r="GJI34" s="672"/>
      <c r="GJJ34" s="672"/>
      <c r="GJK34" s="672"/>
      <c r="GJL34" s="672"/>
      <c r="GJM34" s="672"/>
      <c r="GJN34" s="672"/>
      <c r="GJO34" s="672"/>
      <c r="GJP34" s="672"/>
      <c r="GJQ34" s="672"/>
      <c r="GJR34" s="672"/>
      <c r="GJS34" s="672"/>
      <c r="GJT34" s="672"/>
      <c r="GJU34" s="672"/>
      <c r="GJV34" s="672"/>
      <c r="GJW34" s="672"/>
      <c r="GJX34" s="672"/>
      <c r="GJY34" s="672"/>
      <c r="GJZ34" s="672"/>
      <c r="GKA34" s="672"/>
      <c r="GKB34" s="672"/>
      <c r="GKC34" s="672"/>
      <c r="GKD34" s="672"/>
      <c r="GKE34" s="672"/>
      <c r="GKF34" s="672"/>
      <c r="GKG34" s="672"/>
      <c r="GKH34" s="672"/>
      <c r="GKI34" s="672"/>
      <c r="GKJ34" s="672"/>
      <c r="GKK34" s="672"/>
      <c r="GKL34" s="672"/>
      <c r="GKM34" s="672"/>
      <c r="GKN34" s="672"/>
      <c r="GKO34" s="672"/>
      <c r="GKP34" s="672"/>
      <c r="GKQ34" s="672"/>
      <c r="GKR34" s="672"/>
      <c r="GKS34" s="672"/>
      <c r="GKT34" s="672"/>
      <c r="GKU34" s="672"/>
      <c r="GKV34" s="672"/>
      <c r="GKW34" s="672"/>
      <c r="GKX34" s="672"/>
      <c r="GKY34" s="672"/>
      <c r="GKZ34" s="672"/>
      <c r="GLA34" s="672"/>
      <c r="GLB34" s="672"/>
      <c r="GLC34" s="672"/>
      <c r="GLD34" s="672"/>
      <c r="GLE34" s="672"/>
      <c r="GLF34" s="672"/>
      <c r="GLG34" s="672"/>
      <c r="GLH34" s="672"/>
      <c r="GLI34" s="672"/>
      <c r="GLJ34" s="672"/>
      <c r="GLK34" s="672"/>
      <c r="GLL34" s="672"/>
      <c r="GLM34" s="672"/>
      <c r="GLN34" s="672"/>
      <c r="GLO34" s="672"/>
      <c r="GLP34" s="672"/>
      <c r="GLQ34" s="672"/>
      <c r="GLR34" s="672"/>
      <c r="GLS34" s="672"/>
      <c r="GLT34" s="672"/>
      <c r="GLU34" s="672"/>
      <c r="GLV34" s="672"/>
      <c r="GLW34" s="672"/>
      <c r="GLX34" s="672"/>
      <c r="GLY34" s="672"/>
      <c r="GLZ34" s="672"/>
      <c r="GMA34" s="672"/>
      <c r="GMB34" s="672"/>
      <c r="GMC34" s="672"/>
      <c r="GMD34" s="672"/>
      <c r="GME34" s="672"/>
      <c r="GMF34" s="672"/>
      <c r="GMG34" s="672"/>
      <c r="GMH34" s="672"/>
      <c r="GMI34" s="672"/>
      <c r="GMJ34" s="672"/>
      <c r="GMK34" s="672"/>
      <c r="GML34" s="672"/>
      <c r="GMM34" s="672"/>
      <c r="GMN34" s="672"/>
      <c r="GMO34" s="672"/>
      <c r="GMP34" s="672"/>
      <c r="GMQ34" s="672"/>
      <c r="GMR34" s="672"/>
      <c r="GMS34" s="672"/>
      <c r="GMT34" s="672"/>
      <c r="GMU34" s="672"/>
      <c r="GMV34" s="672"/>
      <c r="GMW34" s="672"/>
      <c r="GMX34" s="672"/>
      <c r="GMY34" s="672"/>
      <c r="GMZ34" s="672"/>
      <c r="GNA34" s="672"/>
      <c r="GNB34" s="672"/>
      <c r="GNC34" s="672"/>
      <c r="GND34" s="672"/>
      <c r="GNE34" s="672"/>
      <c r="GNF34" s="672"/>
      <c r="GNG34" s="672"/>
      <c r="GNH34" s="672"/>
      <c r="GNI34" s="672"/>
      <c r="GNJ34" s="672"/>
      <c r="GNK34" s="672"/>
      <c r="GNL34" s="672"/>
      <c r="GNM34" s="672"/>
      <c r="GNN34" s="672"/>
      <c r="GNO34" s="672"/>
      <c r="GNP34" s="672"/>
      <c r="GNQ34" s="672"/>
      <c r="GNR34" s="672"/>
      <c r="GNS34" s="672"/>
      <c r="GNT34" s="672"/>
      <c r="GNU34" s="672"/>
      <c r="GNV34" s="672"/>
      <c r="GNW34" s="672"/>
      <c r="GNX34" s="672"/>
      <c r="GNY34" s="672"/>
      <c r="GNZ34" s="672"/>
      <c r="GOA34" s="672"/>
      <c r="GOB34" s="672"/>
      <c r="GOC34" s="672"/>
      <c r="GOD34" s="672"/>
      <c r="GOE34" s="672"/>
      <c r="GOF34" s="672"/>
      <c r="GOG34" s="672"/>
      <c r="GOH34" s="672"/>
      <c r="GOI34" s="672"/>
      <c r="GOJ34" s="672"/>
      <c r="GOK34" s="672"/>
      <c r="GOL34" s="672"/>
      <c r="GOM34" s="672"/>
      <c r="GON34" s="672"/>
      <c r="GOO34" s="672"/>
      <c r="GOP34" s="672"/>
      <c r="GOQ34" s="672"/>
      <c r="GOR34" s="672"/>
      <c r="GOS34" s="672"/>
      <c r="GOT34" s="672"/>
      <c r="GOU34" s="672"/>
      <c r="GOV34" s="672"/>
      <c r="GOW34" s="672"/>
      <c r="GOX34" s="672"/>
      <c r="GOY34" s="672"/>
      <c r="GOZ34" s="672"/>
      <c r="GPA34" s="672"/>
      <c r="GPB34" s="672"/>
      <c r="GPC34" s="672"/>
      <c r="GPD34" s="672"/>
      <c r="GPE34" s="672"/>
      <c r="GPF34" s="672"/>
      <c r="GPG34" s="672"/>
      <c r="GPH34" s="672"/>
      <c r="GPI34" s="672"/>
      <c r="GPJ34" s="672"/>
      <c r="GPK34" s="672"/>
      <c r="GPL34" s="672"/>
      <c r="GPM34" s="672"/>
      <c r="GPN34" s="672"/>
      <c r="GPO34" s="672"/>
      <c r="GPP34" s="672"/>
      <c r="GPQ34" s="672"/>
      <c r="GPR34" s="672"/>
      <c r="GPS34" s="672"/>
      <c r="GPT34" s="672"/>
      <c r="GPU34" s="672"/>
      <c r="GPV34" s="672"/>
      <c r="GPW34" s="672"/>
      <c r="GPX34" s="672"/>
      <c r="GPY34" s="672"/>
      <c r="GPZ34" s="672"/>
      <c r="GQA34" s="672"/>
      <c r="GQB34" s="672"/>
      <c r="GQC34" s="672"/>
      <c r="GQD34" s="672"/>
      <c r="GQE34" s="672"/>
      <c r="GQF34" s="672"/>
      <c r="GQG34" s="672"/>
      <c r="GQH34" s="672"/>
      <c r="GQI34" s="672"/>
      <c r="GQJ34" s="672"/>
      <c r="GQK34" s="672"/>
      <c r="GQL34" s="672"/>
      <c r="GQM34" s="672"/>
      <c r="GQN34" s="672"/>
      <c r="GQO34" s="672"/>
      <c r="GQP34" s="672"/>
      <c r="GQQ34" s="672"/>
      <c r="GQR34" s="672"/>
      <c r="GQS34" s="672"/>
      <c r="GQT34" s="672"/>
      <c r="GQU34" s="672"/>
      <c r="GQV34" s="672"/>
      <c r="GQW34" s="672"/>
      <c r="GQX34" s="672"/>
      <c r="GQY34" s="672"/>
      <c r="GQZ34" s="672"/>
      <c r="GRA34" s="672"/>
      <c r="GRB34" s="672"/>
      <c r="GRC34" s="672"/>
      <c r="GRD34" s="672"/>
      <c r="GRE34" s="672"/>
      <c r="GRF34" s="672"/>
      <c r="GRG34" s="672"/>
      <c r="GRH34" s="672"/>
      <c r="GRI34" s="672"/>
      <c r="GRJ34" s="672"/>
      <c r="GRK34" s="672"/>
      <c r="GRL34" s="672"/>
      <c r="GRM34" s="672"/>
      <c r="GRN34" s="672"/>
      <c r="GRO34" s="672"/>
      <c r="GRP34" s="672"/>
      <c r="GRQ34" s="672"/>
      <c r="GRR34" s="672"/>
      <c r="GRS34" s="672"/>
      <c r="GRT34" s="672"/>
      <c r="GRU34" s="672"/>
      <c r="GRV34" s="672"/>
      <c r="GRW34" s="672"/>
      <c r="GRX34" s="672"/>
      <c r="GRY34" s="672"/>
      <c r="GRZ34" s="672"/>
      <c r="GSA34" s="672"/>
      <c r="GSB34" s="672"/>
      <c r="GSC34" s="672"/>
      <c r="GSD34" s="672"/>
      <c r="GSE34" s="672"/>
      <c r="GSF34" s="672"/>
      <c r="GSG34" s="672"/>
      <c r="GSH34" s="672"/>
      <c r="GSI34" s="672"/>
      <c r="GSJ34" s="672"/>
      <c r="GSK34" s="672"/>
      <c r="GSL34" s="672"/>
      <c r="GSM34" s="672"/>
      <c r="GSN34" s="672"/>
      <c r="GSO34" s="672"/>
      <c r="GSP34" s="672"/>
      <c r="GSQ34" s="672"/>
      <c r="GSR34" s="672"/>
      <c r="GSS34" s="672"/>
      <c r="GST34" s="672"/>
      <c r="GSU34" s="672"/>
      <c r="GSV34" s="672"/>
      <c r="GSW34" s="672"/>
      <c r="GSX34" s="672"/>
      <c r="GSY34" s="672"/>
      <c r="GSZ34" s="672"/>
      <c r="GTA34" s="672"/>
      <c r="GTB34" s="672"/>
      <c r="GTC34" s="672"/>
      <c r="GTD34" s="672"/>
      <c r="GTE34" s="672"/>
      <c r="GTF34" s="672"/>
      <c r="GTG34" s="672"/>
      <c r="GTH34" s="672"/>
      <c r="GTI34" s="672"/>
      <c r="GTJ34" s="672"/>
      <c r="GTK34" s="672"/>
      <c r="GTL34" s="672"/>
      <c r="GTM34" s="672"/>
      <c r="GTN34" s="672"/>
      <c r="GTO34" s="672"/>
      <c r="GTP34" s="672"/>
      <c r="GTQ34" s="672"/>
      <c r="GTR34" s="672"/>
      <c r="GTS34" s="672"/>
      <c r="GTT34" s="672"/>
      <c r="GTU34" s="672"/>
      <c r="GTV34" s="672"/>
      <c r="GTW34" s="672"/>
      <c r="GTX34" s="672"/>
      <c r="GTY34" s="672"/>
      <c r="GTZ34" s="672"/>
      <c r="GUA34" s="672"/>
      <c r="GUB34" s="672"/>
      <c r="GUC34" s="672"/>
      <c r="GUD34" s="672"/>
      <c r="GUE34" s="672"/>
      <c r="GUF34" s="672"/>
      <c r="GUG34" s="672"/>
      <c r="GUH34" s="672"/>
      <c r="GUI34" s="672"/>
      <c r="GUJ34" s="672"/>
      <c r="GUK34" s="672"/>
      <c r="GUL34" s="672"/>
      <c r="GUM34" s="672"/>
      <c r="GUN34" s="672"/>
      <c r="GUO34" s="672"/>
      <c r="GUP34" s="672"/>
      <c r="GUQ34" s="672"/>
      <c r="GUR34" s="672"/>
      <c r="GUS34" s="672"/>
      <c r="GUT34" s="672"/>
      <c r="GUU34" s="672"/>
      <c r="GUV34" s="672"/>
      <c r="GUW34" s="672"/>
      <c r="GUX34" s="672"/>
      <c r="GUY34" s="672"/>
      <c r="GUZ34" s="672"/>
      <c r="GVA34" s="672"/>
      <c r="GVB34" s="672"/>
      <c r="GVC34" s="672"/>
      <c r="GVD34" s="672"/>
      <c r="GVE34" s="672"/>
      <c r="GVF34" s="672"/>
      <c r="GVG34" s="672"/>
      <c r="GVH34" s="672"/>
      <c r="GVI34" s="672"/>
      <c r="GVJ34" s="672"/>
      <c r="GVK34" s="672"/>
      <c r="GVL34" s="672"/>
      <c r="GVM34" s="672"/>
      <c r="GVN34" s="672"/>
      <c r="GVO34" s="672"/>
      <c r="GVP34" s="672"/>
      <c r="GVQ34" s="672"/>
      <c r="GVR34" s="672"/>
      <c r="GVS34" s="672"/>
      <c r="GVT34" s="672"/>
      <c r="GVU34" s="672"/>
      <c r="GVV34" s="672"/>
      <c r="GVW34" s="672"/>
      <c r="GVX34" s="672"/>
      <c r="GVY34" s="672"/>
      <c r="GVZ34" s="672"/>
      <c r="GWA34" s="672"/>
      <c r="GWB34" s="672"/>
      <c r="GWC34" s="672"/>
      <c r="GWD34" s="672"/>
      <c r="GWE34" s="672"/>
      <c r="GWF34" s="672"/>
      <c r="GWG34" s="672"/>
      <c r="GWH34" s="672"/>
      <c r="GWI34" s="672"/>
      <c r="GWJ34" s="672"/>
      <c r="GWK34" s="672"/>
      <c r="GWL34" s="672"/>
      <c r="GWM34" s="672"/>
      <c r="GWN34" s="672"/>
      <c r="GWO34" s="672"/>
      <c r="GWP34" s="672"/>
      <c r="GWQ34" s="672"/>
      <c r="GWR34" s="672"/>
      <c r="GWS34" s="672"/>
      <c r="GWT34" s="672"/>
      <c r="GWU34" s="672"/>
      <c r="GWV34" s="672"/>
      <c r="GWW34" s="672"/>
      <c r="GWX34" s="672"/>
      <c r="GWY34" s="672"/>
      <c r="GWZ34" s="672"/>
      <c r="GXA34" s="672"/>
      <c r="GXB34" s="672"/>
      <c r="GXC34" s="672"/>
      <c r="GXD34" s="672"/>
      <c r="GXE34" s="672"/>
      <c r="GXF34" s="672"/>
      <c r="GXG34" s="672"/>
      <c r="GXH34" s="672"/>
      <c r="GXI34" s="672"/>
      <c r="GXJ34" s="672"/>
      <c r="GXK34" s="672"/>
      <c r="GXL34" s="672"/>
      <c r="GXM34" s="672"/>
      <c r="GXN34" s="672"/>
      <c r="GXO34" s="672"/>
      <c r="GXP34" s="672"/>
      <c r="GXQ34" s="672"/>
      <c r="GXR34" s="672"/>
      <c r="GXS34" s="672"/>
      <c r="GXT34" s="672"/>
      <c r="GXU34" s="672"/>
      <c r="GXV34" s="672"/>
      <c r="GXW34" s="672"/>
      <c r="GXX34" s="672"/>
      <c r="GXY34" s="672"/>
      <c r="GXZ34" s="672"/>
      <c r="GYA34" s="672"/>
      <c r="GYB34" s="672"/>
      <c r="GYC34" s="672"/>
      <c r="GYD34" s="672"/>
      <c r="GYE34" s="672"/>
      <c r="GYF34" s="672"/>
      <c r="GYG34" s="672"/>
      <c r="GYH34" s="672"/>
      <c r="GYI34" s="672"/>
      <c r="GYJ34" s="672"/>
      <c r="GYK34" s="672"/>
      <c r="GYL34" s="672"/>
      <c r="GYM34" s="672"/>
      <c r="GYN34" s="672"/>
      <c r="GYO34" s="672"/>
      <c r="GYP34" s="672"/>
      <c r="GYQ34" s="672"/>
      <c r="GYR34" s="672"/>
      <c r="GYS34" s="672"/>
      <c r="GYT34" s="672"/>
      <c r="GYU34" s="672"/>
      <c r="GYV34" s="672"/>
      <c r="GYW34" s="672"/>
      <c r="GYX34" s="672"/>
      <c r="GYY34" s="672"/>
      <c r="GYZ34" s="672"/>
      <c r="GZA34" s="672"/>
      <c r="GZB34" s="672"/>
      <c r="GZC34" s="672"/>
      <c r="GZD34" s="672"/>
      <c r="GZE34" s="672"/>
      <c r="GZF34" s="672"/>
      <c r="GZG34" s="672"/>
      <c r="GZH34" s="672"/>
      <c r="GZI34" s="672"/>
      <c r="GZJ34" s="672"/>
      <c r="GZK34" s="672"/>
      <c r="GZL34" s="672"/>
      <c r="GZM34" s="672"/>
      <c r="GZN34" s="672"/>
      <c r="GZO34" s="672"/>
      <c r="GZP34" s="672"/>
      <c r="GZQ34" s="672"/>
      <c r="GZR34" s="672"/>
      <c r="GZS34" s="672"/>
      <c r="GZT34" s="672"/>
      <c r="GZU34" s="672"/>
      <c r="GZV34" s="672"/>
      <c r="GZW34" s="672"/>
      <c r="GZX34" s="672"/>
      <c r="GZY34" s="672"/>
      <c r="GZZ34" s="672"/>
      <c r="HAA34" s="672"/>
      <c r="HAB34" s="672"/>
      <c r="HAC34" s="672"/>
      <c r="HAD34" s="672"/>
      <c r="HAE34" s="672"/>
      <c r="HAF34" s="672"/>
      <c r="HAG34" s="672"/>
      <c r="HAH34" s="672"/>
      <c r="HAI34" s="672"/>
      <c r="HAJ34" s="672"/>
      <c r="HAK34" s="672"/>
      <c r="HAL34" s="672"/>
      <c r="HAM34" s="672"/>
      <c r="HAN34" s="672"/>
      <c r="HAO34" s="672"/>
      <c r="HAP34" s="672"/>
      <c r="HAQ34" s="672"/>
      <c r="HAR34" s="672"/>
      <c r="HAS34" s="672"/>
      <c r="HAT34" s="672"/>
      <c r="HAU34" s="672"/>
      <c r="HAV34" s="672"/>
      <c r="HAW34" s="672"/>
      <c r="HAX34" s="672"/>
      <c r="HAY34" s="672"/>
      <c r="HAZ34" s="672"/>
      <c r="HBA34" s="672"/>
      <c r="HBB34" s="672"/>
      <c r="HBC34" s="672"/>
      <c r="HBD34" s="672"/>
      <c r="HBE34" s="672"/>
      <c r="HBF34" s="672"/>
      <c r="HBG34" s="672"/>
      <c r="HBH34" s="672"/>
      <c r="HBI34" s="672"/>
      <c r="HBJ34" s="672"/>
      <c r="HBK34" s="672"/>
      <c r="HBL34" s="672"/>
      <c r="HBM34" s="672"/>
      <c r="HBN34" s="672"/>
      <c r="HBO34" s="672"/>
      <c r="HBP34" s="672"/>
      <c r="HBQ34" s="672"/>
      <c r="HBR34" s="672"/>
      <c r="HBS34" s="672"/>
      <c r="HBT34" s="672"/>
      <c r="HBU34" s="672"/>
      <c r="HBV34" s="672"/>
      <c r="HBW34" s="672"/>
      <c r="HBX34" s="672"/>
      <c r="HBY34" s="672"/>
      <c r="HBZ34" s="672"/>
      <c r="HCA34" s="672"/>
      <c r="HCB34" s="672"/>
      <c r="HCC34" s="672"/>
      <c r="HCD34" s="672"/>
      <c r="HCE34" s="672"/>
      <c r="HCF34" s="672"/>
      <c r="HCG34" s="672"/>
      <c r="HCH34" s="672"/>
      <c r="HCI34" s="672"/>
      <c r="HCJ34" s="672"/>
      <c r="HCK34" s="672"/>
      <c r="HCL34" s="672"/>
      <c r="HCM34" s="672"/>
      <c r="HCN34" s="672"/>
      <c r="HCO34" s="672"/>
      <c r="HCP34" s="672"/>
      <c r="HCQ34" s="672"/>
      <c r="HCR34" s="672"/>
      <c r="HCS34" s="672"/>
      <c r="HCT34" s="672"/>
      <c r="HCU34" s="672"/>
      <c r="HCV34" s="672"/>
      <c r="HCW34" s="672"/>
      <c r="HCX34" s="672"/>
      <c r="HCY34" s="672"/>
      <c r="HCZ34" s="672"/>
      <c r="HDA34" s="672"/>
      <c r="HDB34" s="672"/>
      <c r="HDC34" s="672"/>
      <c r="HDD34" s="672"/>
      <c r="HDE34" s="672"/>
      <c r="HDF34" s="672"/>
      <c r="HDG34" s="672"/>
      <c r="HDH34" s="672"/>
      <c r="HDI34" s="672"/>
      <c r="HDJ34" s="672"/>
      <c r="HDK34" s="672"/>
      <c r="HDL34" s="672"/>
      <c r="HDM34" s="672"/>
      <c r="HDN34" s="672"/>
      <c r="HDO34" s="672"/>
      <c r="HDP34" s="672"/>
      <c r="HDQ34" s="672"/>
      <c r="HDR34" s="672"/>
      <c r="HDS34" s="672"/>
      <c r="HDT34" s="672"/>
      <c r="HDU34" s="672"/>
      <c r="HDV34" s="672"/>
      <c r="HDW34" s="672"/>
      <c r="HDX34" s="672"/>
      <c r="HDY34" s="672"/>
      <c r="HDZ34" s="672"/>
      <c r="HEA34" s="672"/>
      <c r="HEB34" s="672"/>
      <c r="HEC34" s="672"/>
      <c r="HED34" s="672"/>
      <c r="HEE34" s="672"/>
      <c r="HEF34" s="672"/>
      <c r="HEG34" s="672"/>
      <c r="HEH34" s="672"/>
      <c r="HEI34" s="672"/>
      <c r="HEJ34" s="672"/>
      <c r="HEK34" s="672"/>
      <c r="HEL34" s="672"/>
      <c r="HEM34" s="672"/>
      <c r="HEN34" s="672"/>
      <c r="HEO34" s="672"/>
      <c r="HEP34" s="672"/>
      <c r="HEQ34" s="672"/>
      <c r="HER34" s="672"/>
      <c r="HES34" s="672"/>
      <c r="HET34" s="672"/>
      <c r="HEU34" s="672"/>
      <c r="HEV34" s="672"/>
      <c r="HEW34" s="672"/>
      <c r="HEX34" s="672"/>
      <c r="HEY34" s="672"/>
      <c r="HEZ34" s="672"/>
      <c r="HFA34" s="672"/>
      <c r="HFB34" s="672"/>
      <c r="HFC34" s="672"/>
      <c r="HFD34" s="672"/>
      <c r="HFE34" s="672"/>
      <c r="HFF34" s="672"/>
      <c r="HFG34" s="672"/>
      <c r="HFH34" s="672"/>
      <c r="HFI34" s="672"/>
      <c r="HFJ34" s="672"/>
      <c r="HFK34" s="672"/>
      <c r="HFL34" s="672"/>
      <c r="HFM34" s="672"/>
      <c r="HFN34" s="672"/>
      <c r="HFO34" s="672"/>
      <c r="HFP34" s="672"/>
      <c r="HFQ34" s="672"/>
      <c r="HFR34" s="672"/>
      <c r="HFS34" s="672"/>
      <c r="HFT34" s="672"/>
      <c r="HFU34" s="672"/>
      <c r="HFV34" s="672"/>
      <c r="HFW34" s="672"/>
      <c r="HFX34" s="672"/>
      <c r="HFY34" s="672"/>
      <c r="HFZ34" s="672"/>
      <c r="HGA34" s="672"/>
      <c r="HGB34" s="672"/>
      <c r="HGC34" s="672"/>
      <c r="HGD34" s="672"/>
      <c r="HGE34" s="672"/>
      <c r="HGF34" s="672"/>
      <c r="HGG34" s="672"/>
      <c r="HGH34" s="672"/>
      <c r="HGI34" s="672"/>
      <c r="HGJ34" s="672"/>
      <c r="HGK34" s="672"/>
      <c r="HGL34" s="672"/>
      <c r="HGM34" s="672"/>
      <c r="HGN34" s="672"/>
      <c r="HGO34" s="672"/>
      <c r="HGP34" s="672"/>
      <c r="HGQ34" s="672"/>
      <c r="HGR34" s="672"/>
      <c r="HGS34" s="672"/>
      <c r="HGT34" s="672"/>
      <c r="HGU34" s="672"/>
      <c r="HGV34" s="672"/>
      <c r="HGW34" s="672"/>
      <c r="HGX34" s="672"/>
      <c r="HGY34" s="672"/>
      <c r="HGZ34" s="672"/>
      <c r="HHA34" s="672"/>
      <c r="HHB34" s="672"/>
      <c r="HHC34" s="672"/>
      <c r="HHD34" s="672"/>
      <c r="HHE34" s="672"/>
      <c r="HHF34" s="672"/>
      <c r="HHG34" s="672"/>
      <c r="HHH34" s="672"/>
      <c r="HHI34" s="672"/>
      <c r="HHJ34" s="672"/>
      <c r="HHK34" s="672"/>
      <c r="HHL34" s="672"/>
      <c r="HHM34" s="672"/>
      <c r="HHN34" s="672"/>
      <c r="HHO34" s="672"/>
      <c r="HHP34" s="672"/>
      <c r="HHQ34" s="672"/>
      <c r="HHR34" s="672"/>
      <c r="HHS34" s="672"/>
      <c r="HHT34" s="672"/>
      <c r="HHU34" s="672"/>
      <c r="HHV34" s="672"/>
      <c r="HHW34" s="672"/>
      <c r="HHX34" s="672"/>
      <c r="HHY34" s="672"/>
      <c r="HHZ34" s="672"/>
      <c r="HIA34" s="672"/>
      <c r="HIB34" s="672"/>
      <c r="HIC34" s="672"/>
      <c r="HID34" s="672"/>
      <c r="HIE34" s="672"/>
      <c r="HIF34" s="672"/>
      <c r="HIG34" s="672"/>
      <c r="HIH34" s="672"/>
      <c r="HII34" s="672"/>
      <c r="HIJ34" s="672"/>
      <c r="HIK34" s="672"/>
      <c r="HIL34" s="672"/>
      <c r="HIM34" s="672"/>
      <c r="HIN34" s="672"/>
      <c r="HIO34" s="672"/>
      <c r="HIP34" s="672"/>
      <c r="HIQ34" s="672"/>
      <c r="HIR34" s="672"/>
      <c r="HIS34" s="672"/>
      <c r="HIT34" s="672"/>
      <c r="HIU34" s="672"/>
      <c r="HIV34" s="672"/>
      <c r="HIW34" s="672"/>
      <c r="HIX34" s="672"/>
      <c r="HIY34" s="672"/>
      <c r="HIZ34" s="672"/>
      <c r="HJA34" s="672"/>
      <c r="HJB34" s="672"/>
      <c r="HJC34" s="672"/>
      <c r="HJD34" s="672"/>
      <c r="HJE34" s="672"/>
      <c r="HJF34" s="672"/>
      <c r="HJG34" s="672"/>
      <c r="HJH34" s="672"/>
      <c r="HJI34" s="672"/>
      <c r="HJJ34" s="672"/>
      <c r="HJK34" s="672"/>
      <c r="HJL34" s="672"/>
      <c r="HJM34" s="672"/>
      <c r="HJN34" s="672"/>
      <c r="HJO34" s="672"/>
      <c r="HJP34" s="672"/>
      <c r="HJQ34" s="672"/>
      <c r="HJR34" s="672"/>
      <c r="HJS34" s="672"/>
      <c r="HJT34" s="672"/>
      <c r="HJU34" s="672"/>
      <c r="HJV34" s="672"/>
      <c r="HJW34" s="672"/>
      <c r="HJX34" s="672"/>
      <c r="HJY34" s="672"/>
      <c r="HJZ34" s="672"/>
      <c r="HKA34" s="672"/>
      <c r="HKB34" s="672"/>
      <c r="HKC34" s="672"/>
      <c r="HKD34" s="672"/>
      <c r="HKE34" s="672"/>
      <c r="HKF34" s="672"/>
      <c r="HKG34" s="672"/>
      <c r="HKH34" s="672"/>
      <c r="HKI34" s="672"/>
      <c r="HKJ34" s="672"/>
      <c r="HKK34" s="672"/>
      <c r="HKL34" s="672"/>
      <c r="HKM34" s="672"/>
      <c r="HKN34" s="672"/>
      <c r="HKO34" s="672"/>
      <c r="HKP34" s="672"/>
      <c r="HKQ34" s="672"/>
      <c r="HKR34" s="672"/>
      <c r="HKS34" s="672"/>
      <c r="HKT34" s="672"/>
      <c r="HKU34" s="672"/>
      <c r="HKV34" s="672"/>
      <c r="HKW34" s="672"/>
      <c r="HKX34" s="672"/>
      <c r="HKY34" s="672"/>
      <c r="HKZ34" s="672"/>
      <c r="HLA34" s="672"/>
      <c r="HLB34" s="672"/>
      <c r="HLC34" s="672"/>
      <c r="HLD34" s="672"/>
      <c r="HLE34" s="672"/>
      <c r="HLF34" s="672"/>
      <c r="HLG34" s="672"/>
      <c r="HLH34" s="672"/>
      <c r="HLI34" s="672"/>
      <c r="HLJ34" s="672"/>
      <c r="HLK34" s="672"/>
      <c r="HLL34" s="672"/>
      <c r="HLM34" s="672"/>
      <c r="HLN34" s="672"/>
      <c r="HLO34" s="672"/>
      <c r="HLP34" s="672"/>
      <c r="HLQ34" s="672"/>
      <c r="HLR34" s="672"/>
      <c r="HLS34" s="672"/>
      <c r="HLT34" s="672"/>
      <c r="HLU34" s="672"/>
      <c r="HLV34" s="672"/>
      <c r="HLW34" s="672"/>
      <c r="HLX34" s="672"/>
      <c r="HLY34" s="672"/>
      <c r="HLZ34" s="672"/>
      <c r="HMA34" s="672"/>
      <c r="HMB34" s="672"/>
      <c r="HMC34" s="672"/>
      <c r="HMD34" s="672"/>
      <c r="HME34" s="672"/>
      <c r="HMF34" s="672"/>
      <c r="HMG34" s="672"/>
      <c r="HMH34" s="672"/>
      <c r="HMI34" s="672"/>
      <c r="HMJ34" s="672"/>
      <c r="HMK34" s="672"/>
      <c r="HML34" s="672"/>
      <c r="HMM34" s="672"/>
      <c r="HMN34" s="672"/>
      <c r="HMO34" s="672"/>
      <c r="HMP34" s="672"/>
      <c r="HMQ34" s="672"/>
      <c r="HMR34" s="672"/>
      <c r="HMS34" s="672"/>
      <c r="HMT34" s="672"/>
      <c r="HMU34" s="672"/>
      <c r="HMV34" s="672"/>
      <c r="HMW34" s="672"/>
      <c r="HMX34" s="672"/>
      <c r="HMY34" s="672"/>
      <c r="HMZ34" s="672"/>
      <c r="HNA34" s="672"/>
      <c r="HNB34" s="672"/>
      <c r="HNC34" s="672"/>
      <c r="HND34" s="672"/>
      <c r="HNE34" s="672"/>
      <c r="HNF34" s="672"/>
      <c r="HNG34" s="672"/>
      <c r="HNH34" s="672"/>
      <c r="HNI34" s="672"/>
      <c r="HNJ34" s="672"/>
      <c r="HNK34" s="672"/>
      <c r="HNL34" s="672"/>
      <c r="HNM34" s="672"/>
      <c r="HNN34" s="672"/>
      <c r="HNO34" s="672"/>
      <c r="HNP34" s="672"/>
      <c r="HNQ34" s="672"/>
      <c r="HNR34" s="672"/>
      <c r="HNS34" s="672"/>
      <c r="HNT34" s="672"/>
      <c r="HNU34" s="672"/>
      <c r="HNV34" s="672"/>
      <c r="HNW34" s="672"/>
      <c r="HNX34" s="672"/>
      <c r="HNY34" s="672"/>
      <c r="HNZ34" s="672"/>
      <c r="HOA34" s="672"/>
      <c r="HOB34" s="672"/>
      <c r="HOC34" s="672"/>
      <c r="HOD34" s="672"/>
      <c r="HOE34" s="672"/>
      <c r="HOF34" s="672"/>
      <c r="HOG34" s="672"/>
      <c r="HOH34" s="672"/>
      <c r="HOI34" s="672"/>
      <c r="HOJ34" s="672"/>
      <c r="HOK34" s="672"/>
      <c r="HOL34" s="672"/>
      <c r="HOM34" s="672"/>
      <c r="HON34" s="672"/>
      <c r="HOO34" s="672"/>
      <c r="HOP34" s="672"/>
      <c r="HOQ34" s="672"/>
      <c r="HOR34" s="672"/>
      <c r="HOS34" s="672"/>
      <c r="HOT34" s="672"/>
      <c r="HOU34" s="672"/>
      <c r="HOV34" s="672"/>
      <c r="HOW34" s="672"/>
      <c r="HOX34" s="672"/>
      <c r="HOY34" s="672"/>
      <c r="HOZ34" s="672"/>
      <c r="HPA34" s="672"/>
      <c r="HPB34" s="672"/>
      <c r="HPC34" s="672"/>
      <c r="HPD34" s="672"/>
      <c r="HPE34" s="672"/>
      <c r="HPF34" s="672"/>
      <c r="HPG34" s="672"/>
      <c r="HPH34" s="672"/>
      <c r="HPI34" s="672"/>
      <c r="HPJ34" s="672"/>
      <c r="HPK34" s="672"/>
      <c r="HPL34" s="672"/>
      <c r="HPM34" s="672"/>
      <c r="HPN34" s="672"/>
      <c r="HPO34" s="672"/>
      <c r="HPP34" s="672"/>
      <c r="HPQ34" s="672"/>
      <c r="HPR34" s="672"/>
      <c r="HPS34" s="672"/>
      <c r="HPT34" s="672"/>
      <c r="HPU34" s="672"/>
      <c r="HPV34" s="672"/>
      <c r="HPW34" s="672"/>
      <c r="HPX34" s="672"/>
      <c r="HPY34" s="672"/>
      <c r="HPZ34" s="672"/>
      <c r="HQA34" s="672"/>
      <c r="HQB34" s="672"/>
      <c r="HQC34" s="672"/>
      <c r="HQD34" s="672"/>
      <c r="HQE34" s="672"/>
      <c r="HQF34" s="672"/>
      <c r="HQG34" s="672"/>
      <c r="HQH34" s="672"/>
      <c r="HQI34" s="672"/>
      <c r="HQJ34" s="672"/>
      <c r="HQK34" s="672"/>
      <c r="HQL34" s="672"/>
      <c r="HQM34" s="672"/>
      <c r="HQN34" s="672"/>
      <c r="HQO34" s="672"/>
      <c r="HQP34" s="672"/>
      <c r="HQQ34" s="672"/>
      <c r="HQR34" s="672"/>
      <c r="HQS34" s="672"/>
      <c r="HQT34" s="672"/>
      <c r="HQU34" s="672"/>
      <c r="HQV34" s="672"/>
      <c r="HQW34" s="672"/>
      <c r="HQX34" s="672"/>
      <c r="HQY34" s="672"/>
      <c r="HQZ34" s="672"/>
      <c r="HRA34" s="672"/>
      <c r="HRB34" s="672"/>
      <c r="HRC34" s="672"/>
      <c r="HRD34" s="672"/>
      <c r="HRE34" s="672"/>
      <c r="HRF34" s="672"/>
      <c r="HRG34" s="672"/>
      <c r="HRH34" s="672"/>
      <c r="HRI34" s="672"/>
      <c r="HRJ34" s="672"/>
      <c r="HRK34" s="672"/>
      <c r="HRL34" s="672"/>
      <c r="HRM34" s="672"/>
      <c r="HRN34" s="672"/>
      <c r="HRO34" s="672"/>
      <c r="HRP34" s="672"/>
      <c r="HRQ34" s="672"/>
      <c r="HRR34" s="672"/>
      <c r="HRS34" s="672"/>
      <c r="HRT34" s="672"/>
      <c r="HRU34" s="672"/>
      <c r="HRV34" s="672"/>
      <c r="HRW34" s="672"/>
      <c r="HRX34" s="672"/>
      <c r="HRY34" s="672"/>
      <c r="HRZ34" s="672"/>
      <c r="HSA34" s="672"/>
      <c r="HSB34" s="672"/>
      <c r="HSC34" s="672"/>
      <c r="HSD34" s="672"/>
      <c r="HSE34" s="672"/>
      <c r="HSF34" s="672"/>
      <c r="HSG34" s="672"/>
      <c r="HSH34" s="672"/>
      <c r="HSI34" s="672"/>
      <c r="HSJ34" s="672"/>
      <c r="HSK34" s="672"/>
      <c r="HSL34" s="672"/>
      <c r="HSM34" s="672"/>
      <c r="HSN34" s="672"/>
      <c r="HSO34" s="672"/>
      <c r="HSP34" s="672"/>
      <c r="HSQ34" s="672"/>
      <c r="HSR34" s="672"/>
      <c r="HSS34" s="672"/>
      <c r="HST34" s="672"/>
      <c r="HSU34" s="672"/>
      <c r="HSV34" s="672"/>
      <c r="HSW34" s="672"/>
      <c r="HSX34" s="672"/>
      <c r="HSY34" s="672"/>
      <c r="HSZ34" s="672"/>
      <c r="HTA34" s="672"/>
      <c r="HTB34" s="672"/>
      <c r="HTC34" s="672"/>
      <c r="HTD34" s="672"/>
      <c r="HTE34" s="672"/>
      <c r="HTF34" s="672"/>
      <c r="HTG34" s="672"/>
      <c r="HTH34" s="672"/>
      <c r="HTI34" s="672"/>
      <c r="HTJ34" s="672"/>
      <c r="HTK34" s="672"/>
      <c r="HTL34" s="672"/>
      <c r="HTM34" s="672"/>
      <c r="HTN34" s="672"/>
      <c r="HTO34" s="672"/>
      <c r="HTP34" s="672"/>
      <c r="HTQ34" s="672"/>
      <c r="HTR34" s="672"/>
      <c r="HTS34" s="672"/>
      <c r="HTT34" s="672"/>
      <c r="HTU34" s="672"/>
      <c r="HTV34" s="672"/>
      <c r="HTW34" s="672"/>
      <c r="HTX34" s="672"/>
      <c r="HTY34" s="672"/>
      <c r="HTZ34" s="672"/>
      <c r="HUA34" s="672"/>
      <c r="HUB34" s="672"/>
      <c r="HUC34" s="672"/>
      <c r="HUD34" s="672"/>
      <c r="HUE34" s="672"/>
      <c r="HUF34" s="672"/>
      <c r="HUG34" s="672"/>
      <c r="HUH34" s="672"/>
      <c r="HUI34" s="672"/>
      <c r="HUJ34" s="672"/>
      <c r="HUK34" s="672"/>
      <c r="HUL34" s="672"/>
      <c r="HUM34" s="672"/>
      <c r="HUN34" s="672"/>
      <c r="HUO34" s="672"/>
      <c r="HUP34" s="672"/>
      <c r="HUQ34" s="672"/>
      <c r="HUR34" s="672"/>
      <c r="HUS34" s="672"/>
      <c r="HUT34" s="672"/>
      <c r="HUU34" s="672"/>
      <c r="HUV34" s="672"/>
      <c r="HUW34" s="672"/>
      <c r="HUX34" s="672"/>
      <c r="HUY34" s="672"/>
      <c r="HUZ34" s="672"/>
      <c r="HVA34" s="672"/>
      <c r="HVB34" s="672"/>
      <c r="HVC34" s="672"/>
      <c r="HVD34" s="672"/>
      <c r="HVE34" s="672"/>
      <c r="HVF34" s="672"/>
      <c r="HVG34" s="672"/>
      <c r="HVH34" s="672"/>
      <c r="HVI34" s="672"/>
      <c r="HVJ34" s="672"/>
      <c r="HVK34" s="672"/>
      <c r="HVL34" s="672"/>
      <c r="HVM34" s="672"/>
      <c r="HVN34" s="672"/>
      <c r="HVO34" s="672"/>
      <c r="HVP34" s="672"/>
      <c r="HVQ34" s="672"/>
      <c r="HVR34" s="672"/>
      <c r="HVS34" s="672"/>
      <c r="HVT34" s="672"/>
      <c r="HVU34" s="672"/>
      <c r="HVV34" s="672"/>
      <c r="HVW34" s="672"/>
      <c r="HVX34" s="672"/>
      <c r="HVY34" s="672"/>
      <c r="HVZ34" s="672"/>
      <c r="HWA34" s="672"/>
      <c r="HWB34" s="672"/>
      <c r="HWC34" s="672"/>
      <c r="HWD34" s="672"/>
      <c r="HWE34" s="672"/>
      <c r="HWF34" s="672"/>
      <c r="HWG34" s="672"/>
      <c r="HWH34" s="672"/>
      <c r="HWI34" s="672"/>
      <c r="HWJ34" s="672"/>
      <c r="HWK34" s="672"/>
      <c r="HWL34" s="672"/>
      <c r="HWM34" s="672"/>
      <c r="HWN34" s="672"/>
      <c r="HWO34" s="672"/>
      <c r="HWP34" s="672"/>
      <c r="HWQ34" s="672"/>
      <c r="HWR34" s="672"/>
      <c r="HWS34" s="672"/>
      <c r="HWT34" s="672"/>
      <c r="HWU34" s="672"/>
      <c r="HWV34" s="672"/>
      <c r="HWW34" s="672"/>
      <c r="HWX34" s="672"/>
      <c r="HWY34" s="672"/>
      <c r="HWZ34" s="672"/>
      <c r="HXA34" s="672"/>
      <c r="HXB34" s="672"/>
      <c r="HXC34" s="672"/>
      <c r="HXD34" s="672"/>
      <c r="HXE34" s="672"/>
      <c r="HXF34" s="672"/>
      <c r="HXG34" s="672"/>
      <c r="HXH34" s="672"/>
      <c r="HXI34" s="672"/>
      <c r="HXJ34" s="672"/>
      <c r="HXK34" s="672"/>
      <c r="HXL34" s="672"/>
      <c r="HXM34" s="672"/>
      <c r="HXN34" s="672"/>
      <c r="HXO34" s="672"/>
      <c r="HXP34" s="672"/>
      <c r="HXQ34" s="672"/>
      <c r="HXR34" s="672"/>
      <c r="HXS34" s="672"/>
      <c r="HXT34" s="672"/>
      <c r="HXU34" s="672"/>
      <c r="HXV34" s="672"/>
      <c r="HXW34" s="672"/>
      <c r="HXX34" s="672"/>
      <c r="HXY34" s="672"/>
      <c r="HXZ34" s="672"/>
      <c r="HYA34" s="672"/>
      <c r="HYB34" s="672"/>
      <c r="HYC34" s="672"/>
      <c r="HYD34" s="672"/>
      <c r="HYE34" s="672"/>
      <c r="HYF34" s="672"/>
      <c r="HYG34" s="672"/>
      <c r="HYH34" s="672"/>
      <c r="HYI34" s="672"/>
      <c r="HYJ34" s="672"/>
      <c r="HYK34" s="672"/>
      <c r="HYL34" s="672"/>
      <c r="HYM34" s="672"/>
      <c r="HYN34" s="672"/>
      <c r="HYO34" s="672"/>
      <c r="HYP34" s="672"/>
      <c r="HYQ34" s="672"/>
      <c r="HYR34" s="672"/>
      <c r="HYS34" s="672"/>
      <c r="HYT34" s="672"/>
      <c r="HYU34" s="672"/>
      <c r="HYV34" s="672"/>
      <c r="HYW34" s="672"/>
      <c r="HYX34" s="672"/>
      <c r="HYY34" s="672"/>
      <c r="HYZ34" s="672"/>
      <c r="HZA34" s="672"/>
      <c r="HZB34" s="672"/>
      <c r="HZC34" s="672"/>
      <c r="HZD34" s="672"/>
      <c r="HZE34" s="672"/>
      <c r="HZF34" s="672"/>
      <c r="HZG34" s="672"/>
      <c r="HZH34" s="672"/>
      <c r="HZI34" s="672"/>
      <c r="HZJ34" s="672"/>
      <c r="HZK34" s="672"/>
      <c r="HZL34" s="672"/>
      <c r="HZM34" s="672"/>
      <c r="HZN34" s="672"/>
      <c r="HZO34" s="672"/>
      <c r="HZP34" s="672"/>
      <c r="HZQ34" s="672"/>
      <c r="HZR34" s="672"/>
      <c r="HZS34" s="672"/>
      <c r="HZT34" s="672"/>
      <c r="HZU34" s="672"/>
      <c r="HZV34" s="672"/>
      <c r="HZW34" s="672"/>
      <c r="HZX34" s="672"/>
      <c r="HZY34" s="672"/>
      <c r="HZZ34" s="672"/>
      <c r="IAA34" s="672"/>
      <c r="IAB34" s="672"/>
      <c r="IAC34" s="672"/>
      <c r="IAD34" s="672"/>
      <c r="IAE34" s="672"/>
      <c r="IAF34" s="672"/>
      <c r="IAG34" s="672"/>
      <c r="IAH34" s="672"/>
      <c r="IAI34" s="672"/>
      <c r="IAJ34" s="672"/>
      <c r="IAK34" s="672"/>
      <c r="IAL34" s="672"/>
      <c r="IAM34" s="672"/>
      <c r="IAN34" s="672"/>
      <c r="IAO34" s="672"/>
      <c r="IAP34" s="672"/>
      <c r="IAQ34" s="672"/>
      <c r="IAR34" s="672"/>
      <c r="IAS34" s="672"/>
      <c r="IAT34" s="672"/>
      <c r="IAU34" s="672"/>
      <c r="IAV34" s="672"/>
      <c r="IAW34" s="672"/>
      <c r="IAX34" s="672"/>
      <c r="IAY34" s="672"/>
      <c r="IAZ34" s="672"/>
      <c r="IBA34" s="672"/>
      <c r="IBB34" s="672"/>
      <c r="IBC34" s="672"/>
      <c r="IBD34" s="672"/>
      <c r="IBE34" s="672"/>
      <c r="IBF34" s="672"/>
      <c r="IBG34" s="672"/>
      <c r="IBH34" s="672"/>
      <c r="IBI34" s="672"/>
      <c r="IBJ34" s="672"/>
      <c r="IBK34" s="672"/>
      <c r="IBL34" s="672"/>
      <c r="IBM34" s="672"/>
      <c r="IBN34" s="672"/>
      <c r="IBO34" s="672"/>
      <c r="IBP34" s="672"/>
      <c r="IBQ34" s="672"/>
      <c r="IBR34" s="672"/>
      <c r="IBS34" s="672"/>
      <c r="IBT34" s="672"/>
      <c r="IBU34" s="672"/>
      <c r="IBV34" s="672"/>
      <c r="IBW34" s="672"/>
      <c r="IBX34" s="672"/>
      <c r="IBY34" s="672"/>
      <c r="IBZ34" s="672"/>
      <c r="ICA34" s="672"/>
      <c r="ICB34" s="672"/>
      <c r="ICC34" s="672"/>
      <c r="ICD34" s="672"/>
      <c r="ICE34" s="672"/>
      <c r="ICF34" s="672"/>
      <c r="ICG34" s="672"/>
      <c r="ICH34" s="672"/>
      <c r="ICI34" s="672"/>
      <c r="ICJ34" s="672"/>
      <c r="ICK34" s="672"/>
      <c r="ICL34" s="672"/>
      <c r="ICM34" s="672"/>
      <c r="ICN34" s="672"/>
      <c r="ICO34" s="672"/>
      <c r="ICP34" s="672"/>
      <c r="ICQ34" s="672"/>
      <c r="ICR34" s="672"/>
      <c r="ICS34" s="672"/>
      <c r="ICT34" s="672"/>
      <c r="ICU34" s="672"/>
      <c r="ICV34" s="672"/>
      <c r="ICW34" s="672"/>
      <c r="ICX34" s="672"/>
      <c r="ICY34" s="672"/>
      <c r="ICZ34" s="672"/>
      <c r="IDA34" s="672"/>
      <c r="IDB34" s="672"/>
      <c r="IDC34" s="672"/>
      <c r="IDD34" s="672"/>
      <c r="IDE34" s="672"/>
      <c r="IDF34" s="672"/>
      <c r="IDG34" s="672"/>
      <c r="IDH34" s="672"/>
      <c r="IDI34" s="672"/>
      <c r="IDJ34" s="672"/>
      <c r="IDK34" s="672"/>
      <c r="IDL34" s="672"/>
      <c r="IDM34" s="672"/>
      <c r="IDN34" s="672"/>
      <c r="IDO34" s="672"/>
      <c r="IDP34" s="672"/>
      <c r="IDQ34" s="672"/>
      <c r="IDR34" s="672"/>
      <c r="IDS34" s="672"/>
      <c r="IDT34" s="672"/>
      <c r="IDU34" s="672"/>
      <c r="IDV34" s="672"/>
      <c r="IDW34" s="672"/>
      <c r="IDX34" s="672"/>
      <c r="IDY34" s="672"/>
      <c r="IDZ34" s="672"/>
      <c r="IEA34" s="672"/>
      <c r="IEB34" s="672"/>
      <c r="IEC34" s="672"/>
      <c r="IED34" s="672"/>
      <c r="IEE34" s="672"/>
      <c r="IEF34" s="672"/>
      <c r="IEG34" s="672"/>
      <c r="IEH34" s="672"/>
      <c r="IEI34" s="672"/>
      <c r="IEJ34" s="672"/>
      <c r="IEK34" s="672"/>
      <c r="IEL34" s="672"/>
      <c r="IEM34" s="672"/>
      <c r="IEN34" s="672"/>
      <c r="IEO34" s="672"/>
      <c r="IEP34" s="672"/>
      <c r="IEQ34" s="672"/>
      <c r="IER34" s="672"/>
      <c r="IES34" s="672"/>
      <c r="IET34" s="672"/>
      <c r="IEU34" s="672"/>
      <c r="IEV34" s="672"/>
      <c r="IEW34" s="672"/>
      <c r="IEX34" s="672"/>
      <c r="IEY34" s="672"/>
      <c r="IEZ34" s="672"/>
      <c r="IFA34" s="672"/>
      <c r="IFB34" s="672"/>
      <c r="IFC34" s="672"/>
      <c r="IFD34" s="672"/>
      <c r="IFE34" s="672"/>
      <c r="IFF34" s="672"/>
      <c r="IFG34" s="672"/>
      <c r="IFH34" s="672"/>
      <c r="IFI34" s="672"/>
      <c r="IFJ34" s="672"/>
      <c r="IFK34" s="672"/>
      <c r="IFL34" s="672"/>
      <c r="IFM34" s="672"/>
      <c r="IFN34" s="672"/>
      <c r="IFO34" s="672"/>
      <c r="IFP34" s="672"/>
      <c r="IFQ34" s="672"/>
      <c r="IFR34" s="672"/>
      <c r="IFS34" s="672"/>
      <c r="IFT34" s="672"/>
      <c r="IFU34" s="672"/>
      <c r="IFV34" s="672"/>
      <c r="IFW34" s="672"/>
      <c r="IFX34" s="672"/>
      <c r="IFY34" s="672"/>
      <c r="IFZ34" s="672"/>
      <c r="IGA34" s="672"/>
      <c r="IGB34" s="672"/>
      <c r="IGC34" s="672"/>
      <c r="IGD34" s="672"/>
      <c r="IGE34" s="672"/>
      <c r="IGF34" s="672"/>
      <c r="IGG34" s="672"/>
      <c r="IGH34" s="672"/>
      <c r="IGI34" s="672"/>
      <c r="IGJ34" s="672"/>
      <c r="IGK34" s="672"/>
      <c r="IGL34" s="672"/>
      <c r="IGM34" s="672"/>
      <c r="IGN34" s="672"/>
      <c r="IGO34" s="672"/>
      <c r="IGP34" s="672"/>
      <c r="IGQ34" s="672"/>
      <c r="IGR34" s="672"/>
      <c r="IGS34" s="672"/>
      <c r="IGT34" s="672"/>
      <c r="IGU34" s="672"/>
      <c r="IGV34" s="672"/>
      <c r="IGW34" s="672"/>
      <c r="IGX34" s="672"/>
      <c r="IGY34" s="672"/>
      <c r="IGZ34" s="672"/>
      <c r="IHA34" s="672"/>
      <c r="IHB34" s="672"/>
      <c r="IHC34" s="672"/>
      <c r="IHD34" s="672"/>
      <c r="IHE34" s="672"/>
      <c r="IHF34" s="672"/>
      <c r="IHG34" s="672"/>
      <c r="IHH34" s="672"/>
      <c r="IHI34" s="672"/>
      <c r="IHJ34" s="672"/>
      <c r="IHK34" s="672"/>
      <c r="IHL34" s="672"/>
      <c r="IHM34" s="672"/>
      <c r="IHN34" s="672"/>
      <c r="IHO34" s="672"/>
      <c r="IHP34" s="672"/>
      <c r="IHQ34" s="672"/>
      <c r="IHR34" s="672"/>
      <c r="IHS34" s="672"/>
      <c r="IHT34" s="672"/>
      <c r="IHU34" s="672"/>
      <c r="IHV34" s="672"/>
      <c r="IHW34" s="672"/>
      <c r="IHX34" s="672"/>
      <c r="IHY34" s="672"/>
      <c r="IHZ34" s="672"/>
      <c r="IIA34" s="672"/>
      <c r="IIB34" s="672"/>
      <c r="IIC34" s="672"/>
      <c r="IID34" s="672"/>
      <c r="IIE34" s="672"/>
      <c r="IIF34" s="672"/>
      <c r="IIG34" s="672"/>
      <c r="IIH34" s="672"/>
      <c r="III34" s="672"/>
      <c r="IIJ34" s="672"/>
      <c r="IIK34" s="672"/>
      <c r="IIL34" s="672"/>
      <c r="IIM34" s="672"/>
      <c r="IIN34" s="672"/>
      <c r="IIO34" s="672"/>
      <c r="IIP34" s="672"/>
      <c r="IIQ34" s="672"/>
      <c r="IIR34" s="672"/>
      <c r="IIS34" s="672"/>
      <c r="IIT34" s="672"/>
      <c r="IIU34" s="672"/>
      <c r="IIV34" s="672"/>
      <c r="IIW34" s="672"/>
      <c r="IIX34" s="672"/>
      <c r="IIY34" s="672"/>
      <c r="IIZ34" s="672"/>
      <c r="IJA34" s="672"/>
      <c r="IJB34" s="672"/>
      <c r="IJC34" s="672"/>
      <c r="IJD34" s="672"/>
      <c r="IJE34" s="672"/>
      <c r="IJF34" s="672"/>
      <c r="IJG34" s="672"/>
      <c r="IJH34" s="672"/>
      <c r="IJI34" s="672"/>
      <c r="IJJ34" s="672"/>
      <c r="IJK34" s="672"/>
      <c r="IJL34" s="672"/>
      <c r="IJM34" s="672"/>
      <c r="IJN34" s="672"/>
      <c r="IJO34" s="672"/>
      <c r="IJP34" s="672"/>
      <c r="IJQ34" s="672"/>
      <c r="IJR34" s="672"/>
      <c r="IJS34" s="672"/>
      <c r="IJT34" s="672"/>
      <c r="IJU34" s="672"/>
      <c r="IJV34" s="672"/>
      <c r="IJW34" s="672"/>
      <c r="IJX34" s="672"/>
      <c r="IJY34" s="672"/>
      <c r="IJZ34" s="672"/>
      <c r="IKA34" s="672"/>
      <c r="IKB34" s="672"/>
      <c r="IKC34" s="672"/>
      <c r="IKD34" s="672"/>
      <c r="IKE34" s="672"/>
      <c r="IKF34" s="672"/>
      <c r="IKG34" s="672"/>
      <c r="IKH34" s="672"/>
      <c r="IKI34" s="672"/>
      <c r="IKJ34" s="672"/>
      <c r="IKK34" s="672"/>
      <c r="IKL34" s="672"/>
      <c r="IKM34" s="672"/>
      <c r="IKN34" s="672"/>
      <c r="IKO34" s="672"/>
      <c r="IKP34" s="672"/>
      <c r="IKQ34" s="672"/>
      <c r="IKR34" s="672"/>
      <c r="IKS34" s="672"/>
      <c r="IKT34" s="672"/>
      <c r="IKU34" s="672"/>
      <c r="IKV34" s="672"/>
      <c r="IKW34" s="672"/>
      <c r="IKX34" s="672"/>
      <c r="IKY34" s="672"/>
      <c r="IKZ34" s="672"/>
      <c r="ILA34" s="672"/>
      <c r="ILB34" s="672"/>
      <c r="ILC34" s="672"/>
      <c r="ILD34" s="672"/>
      <c r="ILE34" s="672"/>
      <c r="ILF34" s="672"/>
      <c r="ILG34" s="672"/>
      <c r="ILH34" s="672"/>
      <c r="ILI34" s="672"/>
      <c r="ILJ34" s="672"/>
      <c r="ILK34" s="672"/>
      <c r="ILL34" s="672"/>
      <c r="ILM34" s="672"/>
      <c r="ILN34" s="672"/>
      <c r="ILO34" s="672"/>
      <c r="ILP34" s="672"/>
      <c r="ILQ34" s="672"/>
      <c r="ILR34" s="672"/>
      <c r="ILS34" s="672"/>
      <c r="ILT34" s="672"/>
      <c r="ILU34" s="672"/>
      <c r="ILV34" s="672"/>
      <c r="ILW34" s="672"/>
      <c r="ILX34" s="672"/>
      <c r="ILY34" s="672"/>
      <c r="ILZ34" s="672"/>
      <c r="IMA34" s="672"/>
      <c r="IMB34" s="672"/>
      <c r="IMC34" s="672"/>
      <c r="IMD34" s="672"/>
      <c r="IME34" s="672"/>
      <c r="IMF34" s="672"/>
      <c r="IMG34" s="672"/>
      <c r="IMH34" s="672"/>
      <c r="IMI34" s="672"/>
      <c r="IMJ34" s="672"/>
      <c r="IMK34" s="672"/>
      <c r="IML34" s="672"/>
      <c r="IMM34" s="672"/>
      <c r="IMN34" s="672"/>
      <c r="IMO34" s="672"/>
      <c r="IMP34" s="672"/>
      <c r="IMQ34" s="672"/>
      <c r="IMR34" s="672"/>
      <c r="IMS34" s="672"/>
      <c r="IMT34" s="672"/>
      <c r="IMU34" s="672"/>
      <c r="IMV34" s="672"/>
      <c r="IMW34" s="672"/>
      <c r="IMX34" s="672"/>
      <c r="IMY34" s="672"/>
      <c r="IMZ34" s="672"/>
      <c r="INA34" s="672"/>
      <c r="INB34" s="672"/>
      <c r="INC34" s="672"/>
      <c r="IND34" s="672"/>
      <c r="INE34" s="672"/>
      <c r="INF34" s="672"/>
      <c r="ING34" s="672"/>
      <c r="INH34" s="672"/>
      <c r="INI34" s="672"/>
      <c r="INJ34" s="672"/>
      <c r="INK34" s="672"/>
      <c r="INL34" s="672"/>
      <c r="INM34" s="672"/>
      <c r="INN34" s="672"/>
      <c r="INO34" s="672"/>
      <c r="INP34" s="672"/>
      <c r="INQ34" s="672"/>
      <c r="INR34" s="672"/>
      <c r="INS34" s="672"/>
      <c r="INT34" s="672"/>
      <c r="INU34" s="672"/>
      <c r="INV34" s="672"/>
      <c r="INW34" s="672"/>
      <c r="INX34" s="672"/>
      <c r="INY34" s="672"/>
      <c r="INZ34" s="672"/>
      <c r="IOA34" s="672"/>
      <c r="IOB34" s="672"/>
      <c r="IOC34" s="672"/>
      <c r="IOD34" s="672"/>
      <c r="IOE34" s="672"/>
      <c r="IOF34" s="672"/>
      <c r="IOG34" s="672"/>
      <c r="IOH34" s="672"/>
      <c r="IOI34" s="672"/>
      <c r="IOJ34" s="672"/>
      <c r="IOK34" s="672"/>
      <c r="IOL34" s="672"/>
      <c r="IOM34" s="672"/>
      <c r="ION34" s="672"/>
      <c r="IOO34" s="672"/>
      <c r="IOP34" s="672"/>
      <c r="IOQ34" s="672"/>
      <c r="IOR34" s="672"/>
      <c r="IOS34" s="672"/>
      <c r="IOT34" s="672"/>
      <c r="IOU34" s="672"/>
      <c r="IOV34" s="672"/>
      <c r="IOW34" s="672"/>
      <c r="IOX34" s="672"/>
      <c r="IOY34" s="672"/>
      <c r="IOZ34" s="672"/>
      <c r="IPA34" s="672"/>
      <c r="IPB34" s="672"/>
      <c r="IPC34" s="672"/>
      <c r="IPD34" s="672"/>
      <c r="IPE34" s="672"/>
      <c r="IPF34" s="672"/>
      <c r="IPG34" s="672"/>
      <c r="IPH34" s="672"/>
      <c r="IPI34" s="672"/>
      <c r="IPJ34" s="672"/>
      <c r="IPK34" s="672"/>
      <c r="IPL34" s="672"/>
      <c r="IPM34" s="672"/>
      <c r="IPN34" s="672"/>
      <c r="IPO34" s="672"/>
      <c r="IPP34" s="672"/>
      <c r="IPQ34" s="672"/>
      <c r="IPR34" s="672"/>
      <c r="IPS34" s="672"/>
      <c r="IPT34" s="672"/>
      <c r="IPU34" s="672"/>
      <c r="IPV34" s="672"/>
      <c r="IPW34" s="672"/>
      <c r="IPX34" s="672"/>
      <c r="IPY34" s="672"/>
      <c r="IPZ34" s="672"/>
      <c r="IQA34" s="672"/>
      <c r="IQB34" s="672"/>
      <c r="IQC34" s="672"/>
      <c r="IQD34" s="672"/>
      <c r="IQE34" s="672"/>
      <c r="IQF34" s="672"/>
      <c r="IQG34" s="672"/>
      <c r="IQH34" s="672"/>
      <c r="IQI34" s="672"/>
      <c r="IQJ34" s="672"/>
      <c r="IQK34" s="672"/>
      <c r="IQL34" s="672"/>
      <c r="IQM34" s="672"/>
      <c r="IQN34" s="672"/>
      <c r="IQO34" s="672"/>
      <c r="IQP34" s="672"/>
      <c r="IQQ34" s="672"/>
      <c r="IQR34" s="672"/>
      <c r="IQS34" s="672"/>
      <c r="IQT34" s="672"/>
      <c r="IQU34" s="672"/>
      <c r="IQV34" s="672"/>
      <c r="IQW34" s="672"/>
      <c r="IQX34" s="672"/>
      <c r="IQY34" s="672"/>
      <c r="IQZ34" s="672"/>
      <c r="IRA34" s="672"/>
      <c r="IRB34" s="672"/>
      <c r="IRC34" s="672"/>
      <c r="IRD34" s="672"/>
      <c r="IRE34" s="672"/>
      <c r="IRF34" s="672"/>
      <c r="IRG34" s="672"/>
      <c r="IRH34" s="672"/>
      <c r="IRI34" s="672"/>
      <c r="IRJ34" s="672"/>
      <c r="IRK34" s="672"/>
      <c r="IRL34" s="672"/>
      <c r="IRM34" s="672"/>
      <c r="IRN34" s="672"/>
      <c r="IRO34" s="672"/>
      <c r="IRP34" s="672"/>
      <c r="IRQ34" s="672"/>
      <c r="IRR34" s="672"/>
      <c r="IRS34" s="672"/>
      <c r="IRT34" s="672"/>
      <c r="IRU34" s="672"/>
      <c r="IRV34" s="672"/>
      <c r="IRW34" s="672"/>
      <c r="IRX34" s="672"/>
      <c r="IRY34" s="672"/>
      <c r="IRZ34" s="672"/>
      <c r="ISA34" s="672"/>
      <c r="ISB34" s="672"/>
      <c r="ISC34" s="672"/>
      <c r="ISD34" s="672"/>
      <c r="ISE34" s="672"/>
      <c r="ISF34" s="672"/>
      <c r="ISG34" s="672"/>
      <c r="ISH34" s="672"/>
      <c r="ISI34" s="672"/>
      <c r="ISJ34" s="672"/>
      <c r="ISK34" s="672"/>
      <c r="ISL34" s="672"/>
      <c r="ISM34" s="672"/>
      <c r="ISN34" s="672"/>
      <c r="ISO34" s="672"/>
      <c r="ISP34" s="672"/>
      <c r="ISQ34" s="672"/>
      <c r="ISR34" s="672"/>
      <c r="ISS34" s="672"/>
      <c r="IST34" s="672"/>
      <c r="ISU34" s="672"/>
      <c r="ISV34" s="672"/>
      <c r="ISW34" s="672"/>
      <c r="ISX34" s="672"/>
      <c r="ISY34" s="672"/>
      <c r="ISZ34" s="672"/>
      <c r="ITA34" s="672"/>
      <c r="ITB34" s="672"/>
      <c r="ITC34" s="672"/>
      <c r="ITD34" s="672"/>
      <c r="ITE34" s="672"/>
      <c r="ITF34" s="672"/>
      <c r="ITG34" s="672"/>
      <c r="ITH34" s="672"/>
      <c r="ITI34" s="672"/>
      <c r="ITJ34" s="672"/>
      <c r="ITK34" s="672"/>
      <c r="ITL34" s="672"/>
      <c r="ITM34" s="672"/>
      <c r="ITN34" s="672"/>
      <c r="ITO34" s="672"/>
      <c r="ITP34" s="672"/>
      <c r="ITQ34" s="672"/>
      <c r="ITR34" s="672"/>
      <c r="ITS34" s="672"/>
      <c r="ITT34" s="672"/>
      <c r="ITU34" s="672"/>
      <c r="ITV34" s="672"/>
      <c r="ITW34" s="672"/>
      <c r="ITX34" s="672"/>
      <c r="ITY34" s="672"/>
      <c r="ITZ34" s="672"/>
      <c r="IUA34" s="672"/>
      <c r="IUB34" s="672"/>
      <c r="IUC34" s="672"/>
      <c r="IUD34" s="672"/>
      <c r="IUE34" s="672"/>
      <c r="IUF34" s="672"/>
      <c r="IUG34" s="672"/>
      <c r="IUH34" s="672"/>
      <c r="IUI34" s="672"/>
      <c r="IUJ34" s="672"/>
      <c r="IUK34" s="672"/>
      <c r="IUL34" s="672"/>
      <c r="IUM34" s="672"/>
      <c r="IUN34" s="672"/>
      <c r="IUO34" s="672"/>
      <c r="IUP34" s="672"/>
      <c r="IUQ34" s="672"/>
      <c r="IUR34" s="672"/>
      <c r="IUS34" s="672"/>
      <c r="IUT34" s="672"/>
      <c r="IUU34" s="672"/>
      <c r="IUV34" s="672"/>
      <c r="IUW34" s="672"/>
      <c r="IUX34" s="672"/>
      <c r="IUY34" s="672"/>
      <c r="IUZ34" s="672"/>
      <c r="IVA34" s="672"/>
      <c r="IVB34" s="672"/>
      <c r="IVC34" s="672"/>
      <c r="IVD34" s="672"/>
      <c r="IVE34" s="672"/>
      <c r="IVF34" s="672"/>
      <c r="IVG34" s="672"/>
      <c r="IVH34" s="672"/>
      <c r="IVI34" s="672"/>
      <c r="IVJ34" s="672"/>
      <c r="IVK34" s="672"/>
      <c r="IVL34" s="672"/>
      <c r="IVM34" s="672"/>
      <c r="IVN34" s="672"/>
      <c r="IVO34" s="672"/>
      <c r="IVP34" s="672"/>
      <c r="IVQ34" s="672"/>
      <c r="IVR34" s="672"/>
      <c r="IVS34" s="672"/>
      <c r="IVT34" s="672"/>
      <c r="IVU34" s="672"/>
      <c r="IVV34" s="672"/>
      <c r="IVW34" s="672"/>
      <c r="IVX34" s="672"/>
      <c r="IVY34" s="672"/>
      <c r="IVZ34" s="672"/>
      <c r="IWA34" s="672"/>
      <c r="IWB34" s="672"/>
      <c r="IWC34" s="672"/>
      <c r="IWD34" s="672"/>
      <c r="IWE34" s="672"/>
      <c r="IWF34" s="672"/>
      <c r="IWG34" s="672"/>
      <c r="IWH34" s="672"/>
      <c r="IWI34" s="672"/>
      <c r="IWJ34" s="672"/>
      <c r="IWK34" s="672"/>
      <c r="IWL34" s="672"/>
      <c r="IWM34" s="672"/>
      <c r="IWN34" s="672"/>
      <c r="IWO34" s="672"/>
      <c r="IWP34" s="672"/>
      <c r="IWQ34" s="672"/>
      <c r="IWR34" s="672"/>
      <c r="IWS34" s="672"/>
      <c r="IWT34" s="672"/>
      <c r="IWU34" s="672"/>
      <c r="IWV34" s="672"/>
      <c r="IWW34" s="672"/>
      <c r="IWX34" s="672"/>
      <c r="IWY34" s="672"/>
      <c r="IWZ34" s="672"/>
      <c r="IXA34" s="672"/>
      <c r="IXB34" s="672"/>
      <c r="IXC34" s="672"/>
      <c r="IXD34" s="672"/>
      <c r="IXE34" s="672"/>
      <c r="IXF34" s="672"/>
      <c r="IXG34" s="672"/>
      <c r="IXH34" s="672"/>
      <c r="IXI34" s="672"/>
      <c r="IXJ34" s="672"/>
      <c r="IXK34" s="672"/>
      <c r="IXL34" s="672"/>
      <c r="IXM34" s="672"/>
      <c r="IXN34" s="672"/>
      <c r="IXO34" s="672"/>
      <c r="IXP34" s="672"/>
      <c r="IXQ34" s="672"/>
      <c r="IXR34" s="672"/>
      <c r="IXS34" s="672"/>
      <c r="IXT34" s="672"/>
      <c r="IXU34" s="672"/>
      <c r="IXV34" s="672"/>
      <c r="IXW34" s="672"/>
      <c r="IXX34" s="672"/>
      <c r="IXY34" s="672"/>
      <c r="IXZ34" s="672"/>
      <c r="IYA34" s="672"/>
      <c r="IYB34" s="672"/>
      <c r="IYC34" s="672"/>
      <c r="IYD34" s="672"/>
      <c r="IYE34" s="672"/>
      <c r="IYF34" s="672"/>
      <c r="IYG34" s="672"/>
      <c r="IYH34" s="672"/>
      <c r="IYI34" s="672"/>
      <c r="IYJ34" s="672"/>
      <c r="IYK34" s="672"/>
      <c r="IYL34" s="672"/>
      <c r="IYM34" s="672"/>
      <c r="IYN34" s="672"/>
      <c r="IYO34" s="672"/>
      <c r="IYP34" s="672"/>
      <c r="IYQ34" s="672"/>
      <c r="IYR34" s="672"/>
      <c r="IYS34" s="672"/>
      <c r="IYT34" s="672"/>
      <c r="IYU34" s="672"/>
      <c r="IYV34" s="672"/>
      <c r="IYW34" s="672"/>
      <c r="IYX34" s="672"/>
      <c r="IYY34" s="672"/>
      <c r="IYZ34" s="672"/>
      <c r="IZA34" s="672"/>
      <c r="IZB34" s="672"/>
      <c r="IZC34" s="672"/>
      <c r="IZD34" s="672"/>
      <c r="IZE34" s="672"/>
      <c r="IZF34" s="672"/>
      <c r="IZG34" s="672"/>
      <c r="IZH34" s="672"/>
      <c r="IZI34" s="672"/>
      <c r="IZJ34" s="672"/>
      <c r="IZK34" s="672"/>
      <c r="IZL34" s="672"/>
      <c r="IZM34" s="672"/>
      <c r="IZN34" s="672"/>
      <c r="IZO34" s="672"/>
      <c r="IZP34" s="672"/>
      <c r="IZQ34" s="672"/>
      <c r="IZR34" s="672"/>
      <c r="IZS34" s="672"/>
      <c r="IZT34" s="672"/>
      <c r="IZU34" s="672"/>
      <c r="IZV34" s="672"/>
      <c r="IZW34" s="672"/>
      <c r="IZX34" s="672"/>
      <c r="IZY34" s="672"/>
      <c r="IZZ34" s="672"/>
      <c r="JAA34" s="672"/>
      <c r="JAB34" s="672"/>
      <c r="JAC34" s="672"/>
      <c r="JAD34" s="672"/>
      <c r="JAE34" s="672"/>
      <c r="JAF34" s="672"/>
      <c r="JAG34" s="672"/>
      <c r="JAH34" s="672"/>
      <c r="JAI34" s="672"/>
      <c r="JAJ34" s="672"/>
      <c r="JAK34" s="672"/>
      <c r="JAL34" s="672"/>
      <c r="JAM34" s="672"/>
      <c r="JAN34" s="672"/>
      <c r="JAO34" s="672"/>
      <c r="JAP34" s="672"/>
      <c r="JAQ34" s="672"/>
      <c r="JAR34" s="672"/>
      <c r="JAS34" s="672"/>
      <c r="JAT34" s="672"/>
      <c r="JAU34" s="672"/>
      <c r="JAV34" s="672"/>
      <c r="JAW34" s="672"/>
      <c r="JAX34" s="672"/>
      <c r="JAY34" s="672"/>
      <c r="JAZ34" s="672"/>
      <c r="JBA34" s="672"/>
      <c r="JBB34" s="672"/>
      <c r="JBC34" s="672"/>
      <c r="JBD34" s="672"/>
      <c r="JBE34" s="672"/>
      <c r="JBF34" s="672"/>
      <c r="JBG34" s="672"/>
      <c r="JBH34" s="672"/>
      <c r="JBI34" s="672"/>
      <c r="JBJ34" s="672"/>
      <c r="JBK34" s="672"/>
      <c r="JBL34" s="672"/>
      <c r="JBM34" s="672"/>
      <c r="JBN34" s="672"/>
      <c r="JBO34" s="672"/>
      <c r="JBP34" s="672"/>
      <c r="JBQ34" s="672"/>
      <c r="JBR34" s="672"/>
      <c r="JBS34" s="672"/>
      <c r="JBT34" s="672"/>
      <c r="JBU34" s="672"/>
      <c r="JBV34" s="672"/>
      <c r="JBW34" s="672"/>
      <c r="JBX34" s="672"/>
      <c r="JBY34" s="672"/>
      <c r="JBZ34" s="672"/>
      <c r="JCA34" s="672"/>
      <c r="JCB34" s="672"/>
      <c r="JCC34" s="672"/>
      <c r="JCD34" s="672"/>
      <c r="JCE34" s="672"/>
      <c r="JCF34" s="672"/>
      <c r="JCG34" s="672"/>
      <c r="JCH34" s="672"/>
      <c r="JCI34" s="672"/>
      <c r="JCJ34" s="672"/>
      <c r="JCK34" s="672"/>
      <c r="JCL34" s="672"/>
      <c r="JCM34" s="672"/>
      <c r="JCN34" s="672"/>
      <c r="JCO34" s="672"/>
      <c r="JCP34" s="672"/>
      <c r="JCQ34" s="672"/>
      <c r="JCR34" s="672"/>
      <c r="JCS34" s="672"/>
      <c r="JCT34" s="672"/>
      <c r="JCU34" s="672"/>
      <c r="JCV34" s="672"/>
      <c r="JCW34" s="672"/>
      <c r="JCX34" s="672"/>
      <c r="JCY34" s="672"/>
      <c r="JCZ34" s="672"/>
      <c r="JDA34" s="672"/>
      <c r="JDB34" s="672"/>
      <c r="JDC34" s="672"/>
      <c r="JDD34" s="672"/>
      <c r="JDE34" s="672"/>
      <c r="JDF34" s="672"/>
      <c r="JDG34" s="672"/>
      <c r="JDH34" s="672"/>
      <c r="JDI34" s="672"/>
      <c r="JDJ34" s="672"/>
      <c r="JDK34" s="672"/>
      <c r="JDL34" s="672"/>
      <c r="JDM34" s="672"/>
      <c r="JDN34" s="672"/>
      <c r="JDO34" s="672"/>
      <c r="JDP34" s="672"/>
      <c r="JDQ34" s="672"/>
      <c r="JDR34" s="672"/>
      <c r="JDS34" s="672"/>
      <c r="JDT34" s="672"/>
      <c r="JDU34" s="672"/>
      <c r="JDV34" s="672"/>
      <c r="JDW34" s="672"/>
      <c r="JDX34" s="672"/>
      <c r="JDY34" s="672"/>
      <c r="JDZ34" s="672"/>
      <c r="JEA34" s="672"/>
      <c r="JEB34" s="672"/>
      <c r="JEC34" s="672"/>
      <c r="JED34" s="672"/>
      <c r="JEE34" s="672"/>
      <c r="JEF34" s="672"/>
      <c r="JEG34" s="672"/>
      <c r="JEH34" s="672"/>
      <c r="JEI34" s="672"/>
      <c r="JEJ34" s="672"/>
      <c r="JEK34" s="672"/>
      <c r="JEL34" s="672"/>
      <c r="JEM34" s="672"/>
      <c r="JEN34" s="672"/>
      <c r="JEO34" s="672"/>
      <c r="JEP34" s="672"/>
      <c r="JEQ34" s="672"/>
      <c r="JER34" s="672"/>
      <c r="JES34" s="672"/>
      <c r="JET34" s="672"/>
      <c r="JEU34" s="672"/>
      <c r="JEV34" s="672"/>
      <c r="JEW34" s="672"/>
      <c r="JEX34" s="672"/>
      <c r="JEY34" s="672"/>
      <c r="JEZ34" s="672"/>
      <c r="JFA34" s="672"/>
      <c r="JFB34" s="672"/>
      <c r="JFC34" s="672"/>
      <c r="JFD34" s="672"/>
      <c r="JFE34" s="672"/>
      <c r="JFF34" s="672"/>
      <c r="JFG34" s="672"/>
      <c r="JFH34" s="672"/>
      <c r="JFI34" s="672"/>
      <c r="JFJ34" s="672"/>
      <c r="JFK34" s="672"/>
      <c r="JFL34" s="672"/>
      <c r="JFM34" s="672"/>
      <c r="JFN34" s="672"/>
      <c r="JFO34" s="672"/>
      <c r="JFP34" s="672"/>
      <c r="JFQ34" s="672"/>
      <c r="JFR34" s="672"/>
      <c r="JFS34" s="672"/>
      <c r="JFT34" s="672"/>
      <c r="JFU34" s="672"/>
      <c r="JFV34" s="672"/>
      <c r="JFW34" s="672"/>
      <c r="JFX34" s="672"/>
      <c r="JFY34" s="672"/>
      <c r="JFZ34" s="672"/>
      <c r="JGA34" s="672"/>
      <c r="JGB34" s="672"/>
      <c r="JGC34" s="672"/>
      <c r="JGD34" s="672"/>
      <c r="JGE34" s="672"/>
      <c r="JGF34" s="672"/>
      <c r="JGG34" s="672"/>
      <c r="JGH34" s="672"/>
      <c r="JGI34" s="672"/>
      <c r="JGJ34" s="672"/>
      <c r="JGK34" s="672"/>
      <c r="JGL34" s="672"/>
      <c r="JGM34" s="672"/>
      <c r="JGN34" s="672"/>
      <c r="JGO34" s="672"/>
      <c r="JGP34" s="672"/>
      <c r="JGQ34" s="672"/>
      <c r="JGR34" s="672"/>
      <c r="JGS34" s="672"/>
      <c r="JGT34" s="672"/>
      <c r="JGU34" s="672"/>
      <c r="JGV34" s="672"/>
      <c r="JGW34" s="672"/>
      <c r="JGX34" s="672"/>
      <c r="JGY34" s="672"/>
      <c r="JGZ34" s="672"/>
      <c r="JHA34" s="672"/>
      <c r="JHB34" s="672"/>
      <c r="JHC34" s="672"/>
      <c r="JHD34" s="672"/>
      <c r="JHE34" s="672"/>
      <c r="JHF34" s="672"/>
      <c r="JHG34" s="672"/>
      <c r="JHH34" s="672"/>
      <c r="JHI34" s="672"/>
      <c r="JHJ34" s="672"/>
      <c r="JHK34" s="672"/>
      <c r="JHL34" s="672"/>
      <c r="JHM34" s="672"/>
      <c r="JHN34" s="672"/>
      <c r="JHO34" s="672"/>
      <c r="JHP34" s="672"/>
      <c r="JHQ34" s="672"/>
      <c r="JHR34" s="672"/>
      <c r="JHS34" s="672"/>
      <c r="JHT34" s="672"/>
      <c r="JHU34" s="672"/>
      <c r="JHV34" s="672"/>
      <c r="JHW34" s="672"/>
      <c r="JHX34" s="672"/>
      <c r="JHY34" s="672"/>
      <c r="JHZ34" s="672"/>
      <c r="JIA34" s="672"/>
      <c r="JIB34" s="672"/>
      <c r="JIC34" s="672"/>
      <c r="JID34" s="672"/>
      <c r="JIE34" s="672"/>
      <c r="JIF34" s="672"/>
      <c r="JIG34" s="672"/>
      <c r="JIH34" s="672"/>
      <c r="JII34" s="672"/>
      <c r="JIJ34" s="672"/>
      <c r="JIK34" s="672"/>
      <c r="JIL34" s="672"/>
      <c r="JIM34" s="672"/>
      <c r="JIN34" s="672"/>
      <c r="JIO34" s="672"/>
      <c r="JIP34" s="672"/>
      <c r="JIQ34" s="672"/>
      <c r="JIR34" s="672"/>
      <c r="JIS34" s="672"/>
      <c r="JIT34" s="672"/>
      <c r="JIU34" s="672"/>
      <c r="JIV34" s="672"/>
      <c r="JIW34" s="672"/>
      <c r="JIX34" s="672"/>
      <c r="JIY34" s="672"/>
      <c r="JIZ34" s="672"/>
      <c r="JJA34" s="672"/>
      <c r="JJB34" s="672"/>
      <c r="JJC34" s="672"/>
      <c r="JJD34" s="672"/>
      <c r="JJE34" s="672"/>
      <c r="JJF34" s="672"/>
      <c r="JJG34" s="672"/>
      <c r="JJH34" s="672"/>
      <c r="JJI34" s="672"/>
      <c r="JJJ34" s="672"/>
      <c r="JJK34" s="672"/>
      <c r="JJL34" s="672"/>
      <c r="JJM34" s="672"/>
      <c r="JJN34" s="672"/>
      <c r="JJO34" s="672"/>
      <c r="JJP34" s="672"/>
      <c r="JJQ34" s="672"/>
      <c r="JJR34" s="672"/>
      <c r="JJS34" s="672"/>
      <c r="JJT34" s="672"/>
      <c r="JJU34" s="672"/>
      <c r="JJV34" s="672"/>
      <c r="JJW34" s="672"/>
      <c r="JJX34" s="672"/>
      <c r="JJY34" s="672"/>
      <c r="JJZ34" s="672"/>
      <c r="JKA34" s="672"/>
      <c r="JKB34" s="672"/>
      <c r="JKC34" s="672"/>
      <c r="JKD34" s="672"/>
      <c r="JKE34" s="672"/>
      <c r="JKF34" s="672"/>
      <c r="JKG34" s="672"/>
      <c r="JKH34" s="672"/>
      <c r="JKI34" s="672"/>
      <c r="JKJ34" s="672"/>
      <c r="JKK34" s="672"/>
      <c r="JKL34" s="672"/>
      <c r="JKM34" s="672"/>
      <c r="JKN34" s="672"/>
      <c r="JKO34" s="672"/>
      <c r="JKP34" s="672"/>
      <c r="JKQ34" s="672"/>
      <c r="JKR34" s="672"/>
      <c r="JKS34" s="672"/>
      <c r="JKT34" s="672"/>
      <c r="JKU34" s="672"/>
      <c r="JKV34" s="672"/>
      <c r="JKW34" s="672"/>
      <c r="JKX34" s="672"/>
      <c r="JKY34" s="672"/>
      <c r="JKZ34" s="672"/>
      <c r="JLA34" s="672"/>
      <c r="JLB34" s="672"/>
      <c r="JLC34" s="672"/>
      <c r="JLD34" s="672"/>
      <c r="JLE34" s="672"/>
      <c r="JLF34" s="672"/>
      <c r="JLG34" s="672"/>
      <c r="JLH34" s="672"/>
      <c r="JLI34" s="672"/>
      <c r="JLJ34" s="672"/>
      <c r="JLK34" s="672"/>
      <c r="JLL34" s="672"/>
      <c r="JLM34" s="672"/>
      <c r="JLN34" s="672"/>
      <c r="JLO34" s="672"/>
      <c r="JLP34" s="672"/>
      <c r="JLQ34" s="672"/>
      <c r="JLR34" s="672"/>
      <c r="JLS34" s="672"/>
      <c r="JLT34" s="672"/>
      <c r="JLU34" s="672"/>
      <c r="JLV34" s="672"/>
      <c r="JLW34" s="672"/>
      <c r="JLX34" s="672"/>
      <c r="JLY34" s="672"/>
      <c r="JLZ34" s="672"/>
      <c r="JMA34" s="672"/>
      <c r="JMB34" s="672"/>
      <c r="JMC34" s="672"/>
      <c r="JMD34" s="672"/>
      <c r="JME34" s="672"/>
      <c r="JMF34" s="672"/>
      <c r="JMG34" s="672"/>
      <c r="JMH34" s="672"/>
      <c r="JMI34" s="672"/>
      <c r="JMJ34" s="672"/>
      <c r="JMK34" s="672"/>
      <c r="JML34" s="672"/>
      <c r="JMM34" s="672"/>
      <c r="JMN34" s="672"/>
      <c r="JMO34" s="672"/>
      <c r="JMP34" s="672"/>
      <c r="JMQ34" s="672"/>
      <c r="JMR34" s="672"/>
      <c r="JMS34" s="672"/>
      <c r="JMT34" s="672"/>
      <c r="JMU34" s="672"/>
      <c r="JMV34" s="672"/>
      <c r="JMW34" s="672"/>
      <c r="JMX34" s="672"/>
      <c r="JMY34" s="672"/>
      <c r="JMZ34" s="672"/>
      <c r="JNA34" s="672"/>
      <c r="JNB34" s="672"/>
      <c r="JNC34" s="672"/>
      <c r="JND34" s="672"/>
      <c r="JNE34" s="672"/>
      <c r="JNF34" s="672"/>
      <c r="JNG34" s="672"/>
      <c r="JNH34" s="672"/>
      <c r="JNI34" s="672"/>
      <c r="JNJ34" s="672"/>
      <c r="JNK34" s="672"/>
      <c r="JNL34" s="672"/>
      <c r="JNM34" s="672"/>
      <c r="JNN34" s="672"/>
      <c r="JNO34" s="672"/>
      <c r="JNP34" s="672"/>
      <c r="JNQ34" s="672"/>
      <c r="JNR34" s="672"/>
      <c r="JNS34" s="672"/>
      <c r="JNT34" s="672"/>
      <c r="JNU34" s="672"/>
      <c r="JNV34" s="672"/>
      <c r="JNW34" s="672"/>
      <c r="JNX34" s="672"/>
      <c r="JNY34" s="672"/>
      <c r="JNZ34" s="672"/>
      <c r="JOA34" s="672"/>
      <c r="JOB34" s="672"/>
      <c r="JOC34" s="672"/>
      <c r="JOD34" s="672"/>
      <c r="JOE34" s="672"/>
      <c r="JOF34" s="672"/>
      <c r="JOG34" s="672"/>
      <c r="JOH34" s="672"/>
      <c r="JOI34" s="672"/>
      <c r="JOJ34" s="672"/>
      <c r="JOK34" s="672"/>
      <c r="JOL34" s="672"/>
      <c r="JOM34" s="672"/>
      <c r="JON34" s="672"/>
      <c r="JOO34" s="672"/>
      <c r="JOP34" s="672"/>
      <c r="JOQ34" s="672"/>
      <c r="JOR34" s="672"/>
      <c r="JOS34" s="672"/>
      <c r="JOT34" s="672"/>
      <c r="JOU34" s="672"/>
      <c r="JOV34" s="672"/>
      <c r="JOW34" s="672"/>
      <c r="JOX34" s="672"/>
      <c r="JOY34" s="672"/>
      <c r="JOZ34" s="672"/>
      <c r="JPA34" s="672"/>
      <c r="JPB34" s="672"/>
      <c r="JPC34" s="672"/>
      <c r="JPD34" s="672"/>
      <c r="JPE34" s="672"/>
      <c r="JPF34" s="672"/>
      <c r="JPG34" s="672"/>
      <c r="JPH34" s="672"/>
      <c r="JPI34" s="672"/>
      <c r="JPJ34" s="672"/>
      <c r="JPK34" s="672"/>
      <c r="JPL34" s="672"/>
      <c r="JPM34" s="672"/>
      <c r="JPN34" s="672"/>
      <c r="JPO34" s="672"/>
      <c r="JPP34" s="672"/>
      <c r="JPQ34" s="672"/>
      <c r="JPR34" s="672"/>
      <c r="JPS34" s="672"/>
      <c r="JPT34" s="672"/>
      <c r="JPU34" s="672"/>
      <c r="JPV34" s="672"/>
      <c r="JPW34" s="672"/>
      <c r="JPX34" s="672"/>
      <c r="JPY34" s="672"/>
      <c r="JPZ34" s="672"/>
      <c r="JQA34" s="672"/>
      <c r="JQB34" s="672"/>
      <c r="JQC34" s="672"/>
      <c r="JQD34" s="672"/>
      <c r="JQE34" s="672"/>
      <c r="JQF34" s="672"/>
      <c r="JQG34" s="672"/>
      <c r="JQH34" s="672"/>
      <c r="JQI34" s="672"/>
      <c r="JQJ34" s="672"/>
      <c r="JQK34" s="672"/>
      <c r="JQL34" s="672"/>
      <c r="JQM34" s="672"/>
      <c r="JQN34" s="672"/>
      <c r="JQO34" s="672"/>
      <c r="JQP34" s="672"/>
      <c r="JQQ34" s="672"/>
      <c r="JQR34" s="672"/>
      <c r="JQS34" s="672"/>
      <c r="JQT34" s="672"/>
      <c r="JQU34" s="672"/>
      <c r="JQV34" s="672"/>
      <c r="JQW34" s="672"/>
      <c r="JQX34" s="672"/>
      <c r="JQY34" s="672"/>
      <c r="JQZ34" s="672"/>
      <c r="JRA34" s="672"/>
      <c r="JRB34" s="672"/>
      <c r="JRC34" s="672"/>
      <c r="JRD34" s="672"/>
      <c r="JRE34" s="672"/>
      <c r="JRF34" s="672"/>
      <c r="JRG34" s="672"/>
      <c r="JRH34" s="672"/>
      <c r="JRI34" s="672"/>
      <c r="JRJ34" s="672"/>
      <c r="JRK34" s="672"/>
      <c r="JRL34" s="672"/>
      <c r="JRM34" s="672"/>
      <c r="JRN34" s="672"/>
      <c r="JRO34" s="672"/>
      <c r="JRP34" s="672"/>
      <c r="JRQ34" s="672"/>
      <c r="JRR34" s="672"/>
      <c r="JRS34" s="672"/>
      <c r="JRT34" s="672"/>
      <c r="JRU34" s="672"/>
      <c r="JRV34" s="672"/>
      <c r="JRW34" s="672"/>
      <c r="JRX34" s="672"/>
      <c r="JRY34" s="672"/>
      <c r="JRZ34" s="672"/>
      <c r="JSA34" s="672"/>
      <c r="JSB34" s="672"/>
      <c r="JSC34" s="672"/>
      <c r="JSD34" s="672"/>
      <c r="JSE34" s="672"/>
      <c r="JSF34" s="672"/>
      <c r="JSG34" s="672"/>
      <c r="JSH34" s="672"/>
      <c r="JSI34" s="672"/>
      <c r="JSJ34" s="672"/>
      <c r="JSK34" s="672"/>
      <c r="JSL34" s="672"/>
      <c r="JSM34" s="672"/>
      <c r="JSN34" s="672"/>
      <c r="JSO34" s="672"/>
      <c r="JSP34" s="672"/>
      <c r="JSQ34" s="672"/>
      <c r="JSR34" s="672"/>
      <c r="JSS34" s="672"/>
      <c r="JST34" s="672"/>
      <c r="JSU34" s="672"/>
      <c r="JSV34" s="672"/>
      <c r="JSW34" s="672"/>
      <c r="JSX34" s="672"/>
      <c r="JSY34" s="672"/>
      <c r="JSZ34" s="672"/>
      <c r="JTA34" s="672"/>
      <c r="JTB34" s="672"/>
      <c r="JTC34" s="672"/>
      <c r="JTD34" s="672"/>
      <c r="JTE34" s="672"/>
      <c r="JTF34" s="672"/>
      <c r="JTG34" s="672"/>
      <c r="JTH34" s="672"/>
      <c r="JTI34" s="672"/>
      <c r="JTJ34" s="672"/>
      <c r="JTK34" s="672"/>
      <c r="JTL34" s="672"/>
      <c r="JTM34" s="672"/>
      <c r="JTN34" s="672"/>
      <c r="JTO34" s="672"/>
      <c r="JTP34" s="672"/>
      <c r="JTQ34" s="672"/>
      <c r="JTR34" s="672"/>
      <c r="JTS34" s="672"/>
      <c r="JTT34" s="672"/>
      <c r="JTU34" s="672"/>
      <c r="JTV34" s="672"/>
      <c r="JTW34" s="672"/>
      <c r="JTX34" s="672"/>
      <c r="JTY34" s="672"/>
      <c r="JTZ34" s="672"/>
      <c r="JUA34" s="672"/>
      <c r="JUB34" s="672"/>
      <c r="JUC34" s="672"/>
      <c r="JUD34" s="672"/>
      <c r="JUE34" s="672"/>
      <c r="JUF34" s="672"/>
      <c r="JUG34" s="672"/>
      <c r="JUH34" s="672"/>
      <c r="JUI34" s="672"/>
      <c r="JUJ34" s="672"/>
      <c r="JUK34" s="672"/>
      <c r="JUL34" s="672"/>
      <c r="JUM34" s="672"/>
      <c r="JUN34" s="672"/>
      <c r="JUO34" s="672"/>
      <c r="JUP34" s="672"/>
      <c r="JUQ34" s="672"/>
      <c r="JUR34" s="672"/>
      <c r="JUS34" s="672"/>
      <c r="JUT34" s="672"/>
      <c r="JUU34" s="672"/>
      <c r="JUV34" s="672"/>
      <c r="JUW34" s="672"/>
      <c r="JUX34" s="672"/>
      <c r="JUY34" s="672"/>
      <c r="JUZ34" s="672"/>
      <c r="JVA34" s="672"/>
      <c r="JVB34" s="672"/>
      <c r="JVC34" s="672"/>
      <c r="JVD34" s="672"/>
      <c r="JVE34" s="672"/>
      <c r="JVF34" s="672"/>
      <c r="JVG34" s="672"/>
      <c r="JVH34" s="672"/>
      <c r="JVI34" s="672"/>
      <c r="JVJ34" s="672"/>
      <c r="JVK34" s="672"/>
      <c r="JVL34" s="672"/>
      <c r="JVM34" s="672"/>
      <c r="JVN34" s="672"/>
      <c r="JVO34" s="672"/>
      <c r="JVP34" s="672"/>
      <c r="JVQ34" s="672"/>
      <c r="JVR34" s="672"/>
      <c r="JVS34" s="672"/>
      <c r="JVT34" s="672"/>
      <c r="JVU34" s="672"/>
      <c r="JVV34" s="672"/>
      <c r="JVW34" s="672"/>
      <c r="JVX34" s="672"/>
      <c r="JVY34" s="672"/>
      <c r="JVZ34" s="672"/>
      <c r="JWA34" s="672"/>
      <c r="JWB34" s="672"/>
      <c r="JWC34" s="672"/>
      <c r="JWD34" s="672"/>
      <c r="JWE34" s="672"/>
      <c r="JWF34" s="672"/>
      <c r="JWG34" s="672"/>
      <c r="JWH34" s="672"/>
      <c r="JWI34" s="672"/>
      <c r="JWJ34" s="672"/>
      <c r="JWK34" s="672"/>
      <c r="JWL34" s="672"/>
      <c r="JWM34" s="672"/>
      <c r="JWN34" s="672"/>
      <c r="JWO34" s="672"/>
      <c r="JWP34" s="672"/>
      <c r="JWQ34" s="672"/>
      <c r="JWR34" s="672"/>
      <c r="JWS34" s="672"/>
      <c r="JWT34" s="672"/>
      <c r="JWU34" s="672"/>
      <c r="JWV34" s="672"/>
      <c r="JWW34" s="672"/>
      <c r="JWX34" s="672"/>
      <c r="JWY34" s="672"/>
      <c r="JWZ34" s="672"/>
      <c r="JXA34" s="672"/>
      <c r="JXB34" s="672"/>
      <c r="JXC34" s="672"/>
      <c r="JXD34" s="672"/>
      <c r="JXE34" s="672"/>
      <c r="JXF34" s="672"/>
      <c r="JXG34" s="672"/>
      <c r="JXH34" s="672"/>
      <c r="JXI34" s="672"/>
      <c r="JXJ34" s="672"/>
      <c r="JXK34" s="672"/>
      <c r="JXL34" s="672"/>
      <c r="JXM34" s="672"/>
      <c r="JXN34" s="672"/>
      <c r="JXO34" s="672"/>
      <c r="JXP34" s="672"/>
      <c r="JXQ34" s="672"/>
      <c r="JXR34" s="672"/>
      <c r="JXS34" s="672"/>
      <c r="JXT34" s="672"/>
      <c r="JXU34" s="672"/>
      <c r="JXV34" s="672"/>
      <c r="JXW34" s="672"/>
      <c r="JXX34" s="672"/>
      <c r="JXY34" s="672"/>
      <c r="JXZ34" s="672"/>
      <c r="JYA34" s="672"/>
      <c r="JYB34" s="672"/>
      <c r="JYC34" s="672"/>
      <c r="JYD34" s="672"/>
      <c r="JYE34" s="672"/>
      <c r="JYF34" s="672"/>
      <c r="JYG34" s="672"/>
      <c r="JYH34" s="672"/>
      <c r="JYI34" s="672"/>
      <c r="JYJ34" s="672"/>
      <c r="JYK34" s="672"/>
      <c r="JYL34" s="672"/>
      <c r="JYM34" s="672"/>
      <c r="JYN34" s="672"/>
      <c r="JYO34" s="672"/>
      <c r="JYP34" s="672"/>
      <c r="JYQ34" s="672"/>
      <c r="JYR34" s="672"/>
      <c r="JYS34" s="672"/>
      <c r="JYT34" s="672"/>
      <c r="JYU34" s="672"/>
      <c r="JYV34" s="672"/>
      <c r="JYW34" s="672"/>
      <c r="JYX34" s="672"/>
      <c r="JYY34" s="672"/>
      <c r="JYZ34" s="672"/>
      <c r="JZA34" s="672"/>
      <c r="JZB34" s="672"/>
      <c r="JZC34" s="672"/>
      <c r="JZD34" s="672"/>
      <c r="JZE34" s="672"/>
      <c r="JZF34" s="672"/>
      <c r="JZG34" s="672"/>
      <c r="JZH34" s="672"/>
      <c r="JZI34" s="672"/>
      <c r="JZJ34" s="672"/>
      <c r="JZK34" s="672"/>
      <c r="JZL34" s="672"/>
      <c r="JZM34" s="672"/>
      <c r="JZN34" s="672"/>
      <c r="JZO34" s="672"/>
      <c r="JZP34" s="672"/>
      <c r="JZQ34" s="672"/>
      <c r="JZR34" s="672"/>
      <c r="JZS34" s="672"/>
      <c r="JZT34" s="672"/>
      <c r="JZU34" s="672"/>
      <c r="JZV34" s="672"/>
      <c r="JZW34" s="672"/>
      <c r="JZX34" s="672"/>
      <c r="JZY34" s="672"/>
      <c r="JZZ34" s="672"/>
      <c r="KAA34" s="672"/>
      <c r="KAB34" s="672"/>
      <c r="KAC34" s="672"/>
      <c r="KAD34" s="672"/>
      <c r="KAE34" s="672"/>
      <c r="KAF34" s="672"/>
      <c r="KAG34" s="672"/>
      <c r="KAH34" s="672"/>
      <c r="KAI34" s="672"/>
      <c r="KAJ34" s="672"/>
      <c r="KAK34" s="672"/>
      <c r="KAL34" s="672"/>
      <c r="KAM34" s="672"/>
      <c r="KAN34" s="672"/>
      <c r="KAO34" s="672"/>
      <c r="KAP34" s="672"/>
      <c r="KAQ34" s="672"/>
      <c r="KAR34" s="672"/>
      <c r="KAS34" s="672"/>
      <c r="KAT34" s="672"/>
      <c r="KAU34" s="672"/>
      <c r="KAV34" s="672"/>
      <c r="KAW34" s="672"/>
      <c r="KAX34" s="672"/>
      <c r="KAY34" s="672"/>
      <c r="KAZ34" s="672"/>
      <c r="KBA34" s="672"/>
      <c r="KBB34" s="672"/>
      <c r="KBC34" s="672"/>
      <c r="KBD34" s="672"/>
      <c r="KBE34" s="672"/>
      <c r="KBF34" s="672"/>
      <c r="KBG34" s="672"/>
      <c r="KBH34" s="672"/>
      <c r="KBI34" s="672"/>
      <c r="KBJ34" s="672"/>
      <c r="KBK34" s="672"/>
      <c r="KBL34" s="672"/>
      <c r="KBM34" s="672"/>
      <c r="KBN34" s="672"/>
      <c r="KBO34" s="672"/>
      <c r="KBP34" s="672"/>
      <c r="KBQ34" s="672"/>
      <c r="KBR34" s="672"/>
      <c r="KBS34" s="672"/>
      <c r="KBT34" s="672"/>
      <c r="KBU34" s="672"/>
      <c r="KBV34" s="672"/>
      <c r="KBW34" s="672"/>
      <c r="KBX34" s="672"/>
      <c r="KBY34" s="672"/>
      <c r="KBZ34" s="672"/>
      <c r="KCA34" s="672"/>
      <c r="KCB34" s="672"/>
      <c r="KCC34" s="672"/>
      <c r="KCD34" s="672"/>
      <c r="KCE34" s="672"/>
      <c r="KCF34" s="672"/>
      <c r="KCG34" s="672"/>
      <c r="KCH34" s="672"/>
      <c r="KCI34" s="672"/>
      <c r="KCJ34" s="672"/>
      <c r="KCK34" s="672"/>
      <c r="KCL34" s="672"/>
      <c r="KCM34" s="672"/>
      <c r="KCN34" s="672"/>
      <c r="KCO34" s="672"/>
      <c r="KCP34" s="672"/>
      <c r="KCQ34" s="672"/>
      <c r="KCR34" s="672"/>
      <c r="KCS34" s="672"/>
      <c r="KCT34" s="672"/>
      <c r="KCU34" s="672"/>
      <c r="KCV34" s="672"/>
      <c r="KCW34" s="672"/>
      <c r="KCX34" s="672"/>
      <c r="KCY34" s="672"/>
      <c r="KCZ34" s="672"/>
      <c r="KDA34" s="672"/>
      <c r="KDB34" s="672"/>
      <c r="KDC34" s="672"/>
      <c r="KDD34" s="672"/>
      <c r="KDE34" s="672"/>
      <c r="KDF34" s="672"/>
      <c r="KDG34" s="672"/>
      <c r="KDH34" s="672"/>
      <c r="KDI34" s="672"/>
      <c r="KDJ34" s="672"/>
      <c r="KDK34" s="672"/>
      <c r="KDL34" s="672"/>
      <c r="KDM34" s="672"/>
      <c r="KDN34" s="672"/>
      <c r="KDO34" s="672"/>
      <c r="KDP34" s="672"/>
      <c r="KDQ34" s="672"/>
      <c r="KDR34" s="672"/>
      <c r="KDS34" s="672"/>
      <c r="KDT34" s="672"/>
      <c r="KDU34" s="672"/>
      <c r="KDV34" s="672"/>
      <c r="KDW34" s="672"/>
      <c r="KDX34" s="672"/>
      <c r="KDY34" s="672"/>
      <c r="KDZ34" s="672"/>
      <c r="KEA34" s="672"/>
      <c r="KEB34" s="672"/>
      <c r="KEC34" s="672"/>
      <c r="KED34" s="672"/>
      <c r="KEE34" s="672"/>
      <c r="KEF34" s="672"/>
      <c r="KEG34" s="672"/>
      <c r="KEH34" s="672"/>
      <c r="KEI34" s="672"/>
      <c r="KEJ34" s="672"/>
      <c r="KEK34" s="672"/>
      <c r="KEL34" s="672"/>
      <c r="KEM34" s="672"/>
      <c r="KEN34" s="672"/>
      <c r="KEO34" s="672"/>
      <c r="KEP34" s="672"/>
      <c r="KEQ34" s="672"/>
      <c r="KER34" s="672"/>
      <c r="KES34" s="672"/>
      <c r="KET34" s="672"/>
      <c r="KEU34" s="672"/>
      <c r="KEV34" s="672"/>
      <c r="KEW34" s="672"/>
      <c r="KEX34" s="672"/>
      <c r="KEY34" s="672"/>
      <c r="KEZ34" s="672"/>
      <c r="KFA34" s="672"/>
      <c r="KFB34" s="672"/>
      <c r="KFC34" s="672"/>
      <c r="KFD34" s="672"/>
      <c r="KFE34" s="672"/>
      <c r="KFF34" s="672"/>
      <c r="KFG34" s="672"/>
      <c r="KFH34" s="672"/>
      <c r="KFI34" s="672"/>
      <c r="KFJ34" s="672"/>
      <c r="KFK34" s="672"/>
      <c r="KFL34" s="672"/>
      <c r="KFM34" s="672"/>
      <c r="KFN34" s="672"/>
      <c r="KFO34" s="672"/>
      <c r="KFP34" s="672"/>
      <c r="KFQ34" s="672"/>
      <c r="KFR34" s="672"/>
      <c r="KFS34" s="672"/>
      <c r="KFT34" s="672"/>
      <c r="KFU34" s="672"/>
      <c r="KFV34" s="672"/>
      <c r="KFW34" s="672"/>
      <c r="KFX34" s="672"/>
      <c r="KFY34" s="672"/>
      <c r="KFZ34" s="672"/>
      <c r="KGA34" s="672"/>
      <c r="KGB34" s="672"/>
      <c r="KGC34" s="672"/>
      <c r="KGD34" s="672"/>
      <c r="KGE34" s="672"/>
      <c r="KGF34" s="672"/>
      <c r="KGG34" s="672"/>
      <c r="KGH34" s="672"/>
      <c r="KGI34" s="672"/>
      <c r="KGJ34" s="672"/>
      <c r="KGK34" s="672"/>
      <c r="KGL34" s="672"/>
      <c r="KGM34" s="672"/>
      <c r="KGN34" s="672"/>
      <c r="KGO34" s="672"/>
      <c r="KGP34" s="672"/>
      <c r="KGQ34" s="672"/>
      <c r="KGR34" s="672"/>
      <c r="KGS34" s="672"/>
      <c r="KGT34" s="672"/>
      <c r="KGU34" s="672"/>
      <c r="KGV34" s="672"/>
      <c r="KGW34" s="672"/>
      <c r="KGX34" s="672"/>
      <c r="KGY34" s="672"/>
      <c r="KGZ34" s="672"/>
      <c r="KHA34" s="672"/>
      <c r="KHB34" s="672"/>
      <c r="KHC34" s="672"/>
      <c r="KHD34" s="672"/>
      <c r="KHE34" s="672"/>
      <c r="KHF34" s="672"/>
      <c r="KHG34" s="672"/>
      <c r="KHH34" s="672"/>
      <c r="KHI34" s="672"/>
      <c r="KHJ34" s="672"/>
      <c r="KHK34" s="672"/>
      <c r="KHL34" s="672"/>
      <c r="KHM34" s="672"/>
      <c r="KHN34" s="672"/>
      <c r="KHO34" s="672"/>
      <c r="KHP34" s="672"/>
      <c r="KHQ34" s="672"/>
      <c r="KHR34" s="672"/>
      <c r="KHS34" s="672"/>
      <c r="KHT34" s="672"/>
      <c r="KHU34" s="672"/>
      <c r="KHV34" s="672"/>
      <c r="KHW34" s="672"/>
      <c r="KHX34" s="672"/>
      <c r="KHY34" s="672"/>
      <c r="KHZ34" s="672"/>
      <c r="KIA34" s="672"/>
      <c r="KIB34" s="672"/>
      <c r="KIC34" s="672"/>
      <c r="KID34" s="672"/>
      <c r="KIE34" s="672"/>
      <c r="KIF34" s="672"/>
      <c r="KIG34" s="672"/>
      <c r="KIH34" s="672"/>
      <c r="KII34" s="672"/>
      <c r="KIJ34" s="672"/>
      <c r="KIK34" s="672"/>
      <c r="KIL34" s="672"/>
      <c r="KIM34" s="672"/>
      <c r="KIN34" s="672"/>
      <c r="KIO34" s="672"/>
      <c r="KIP34" s="672"/>
      <c r="KIQ34" s="672"/>
      <c r="KIR34" s="672"/>
      <c r="KIS34" s="672"/>
      <c r="KIT34" s="672"/>
      <c r="KIU34" s="672"/>
      <c r="KIV34" s="672"/>
      <c r="KIW34" s="672"/>
      <c r="KIX34" s="672"/>
      <c r="KIY34" s="672"/>
      <c r="KIZ34" s="672"/>
      <c r="KJA34" s="672"/>
      <c r="KJB34" s="672"/>
      <c r="KJC34" s="672"/>
      <c r="KJD34" s="672"/>
      <c r="KJE34" s="672"/>
      <c r="KJF34" s="672"/>
      <c r="KJG34" s="672"/>
      <c r="KJH34" s="672"/>
      <c r="KJI34" s="672"/>
      <c r="KJJ34" s="672"/>
      <c r="KJK34" s="672"/>
      <c r="KJL34" s="672"/>
      <c r="KJM34" s="672"/>
      <c r="KJN34" s="672"/>
      <c r="KJO34" s="672"/>
      <c r="KJP34" s="672"/>
      <c r="KJQ34" s="672"/>
      <c r="KJR34" s="672"/>
      <c r="KJS34" s="672"/>
      <c r="KJT34" s="672"/>
      <c r="KJU34" s="672"/>
      <c r="KJV34" s="672"/>
      <c r="KJW34" s="672"/>
      <c r="KJX34" s="672"/>
      <c r="KJY34" s="672"/>
      <c r="KJZ34" s="672"/>
      <c r="KKA34" s="672"/>
      <c r="KKB34" s="672"/>
      <c r="KKC34" s="672"/>
      <c r="KKD34" s="672"/>
      <c r="KKE34" s="672"/>
      <c r="KKF34" s="672"/>
      <c r="KKG34" s="672"/>
      <c r="KKH34" s="672"/>
      <c r="KKI34" s="672"/>
      <c r="KKJ34" s="672"/>
      <c r="KKK34" s="672"/>
      <c r="KKL34" s="672"/>
      <c r="KKM34" s="672"/>
      <c r="KKN34" s="672"/>
      <c r="KKO34" s="672"/>
      <c r="KKP34" s="672"/>
      <c r="KKQ34" s="672"/>
      <c r="KKR34" s="672"/>
      <c r="KKS34" s="672"/>
      <c r="KKT34" s="672"/>
      <c r="KKU34" s="672"/>
      <c r="KKV34" s="672"/>
      <c r="KKW34" s="672"/>
      <c r="KKX34" s="672"/>
      <c r="KKY34" s="672"/>
      <c r="KKZ34" s="672"/>
      <c r="KLA34" s="672"/>
      <c r="KLB34" s="672"/>
      <c r="KLC34" s="672"/>
      <c r="KLD34" s="672"/>
      <c r="KLE34" s="672"/>
      <c r="KLF34" s="672"/>
      <c r="KLG34" s="672"/>
      <c r="KLH34" s="672"/>
      <c r="KLI34" s="672"/>
      <c r="KLJ34" s="672"/>
      <c r="KLK34" s="672"/>
      <c r="KLL34" s="672"/>
      <c r="KLM34" s="672"/>
      <c r="KLN34" s="672"/>
      <c r="KLO34" s="672"/>
      <c r="KLP34" s="672"/>
      <c r="KLQ34" s="672"/>
      <c r="KLR34" s="672"/>
      <c r="KLS34" s="672"/>
      <c r="KLT34" s="672"/>
      <c r="KLU34" s="672"/>
      <c r="KLV34" s="672"/>
      <c r="KLW34" s="672"/>
      <c r="KLX34" s="672"/>
      <c r="KLY34" s="672"/>
      <c r="KLZ34" s="672"/>
      <c r="KMA34" s="672"/>
      <c r="KMB34" s="672"/>
      <c r="KMC34" s="672"/>
      <c r="KMD34" s="672"/>
      <c r="KME34" s="672"/>
      <c r="KMF34" s="672"/>
      <c r="KMG34" s="672"/>
      <c r="KMH34" s="672"/>
      <c r="KMI34" s="672"/>
      <c r="KMJ34" s="672"/>
      <c r="KMK34" s="672"/>
      <c r="KML34" s="672"/>
      <c r="KMM34" s="672"/>
      <c r="KMN34" s="672"/>
      <c r="KMO34" s="672"/>
      <c r="KMP34" s="672"/>
      <c r="KMQ34" s="672"/>
      <c r="KMR34" s="672"/>
      <c r="KMS34" s="672"/>
      <c r="KMT34" s="672"/>
      <c r="KMU34" s="672"/>
      <c r="KMV34" s="672"/>
      <c r="KMW34" s="672"/>
      <c r="KMX34" s="672"/>
      <c r="KMY34" s="672"/>
      <c r="KMZ34" s="672"/>
      <c r="KNA34" s="672"/>
      <c r="KNB34" s="672"/>
      <c r="KNC34" s="672"/>
      <c r="KND34" s="672"/>
      <c r="KNE34" s="672"/>
      <c r="KNF34" s="672"/>
      <c r="KNG34" s="672"/>
      <c r="KNH34" s="672"/>
      <c r="KNI34" s="672"/>
      <c r="KNJ34" s="672"/>
      <c r="KNK34" s="672"/>
      <c r="KNL34" s="672"/>
      <c r="KNM34" s="672"/>
      <c r="KNN34" s="672"/>
      <c r="KNO34" s="672"/>
      <c r="KNP34" s="672"/>
      <c r="KNQ34" s="672"/>
      <c r="KNR34" s="672"/>
      <c r="KNS34" s="672"/>
      <c r="KNT34" s="672"/>
      <c r="KNU34" s="672"/>
      <c r="KNV34" s="672"/>
      <c r="KNW34" s="672"/>
      <c r="KNX34" s="672"/>
      <c r="KNY34" s="672"/>
      <c r="KNZ34" s="672"/>
      <c r="KOA34" s="672"/>
      <c r="KOB34" s="672"/>
      <c r="KOC34" s="672"/>
      <c r="KOD34" s="672"/>
      <c r="KOE34" s="672"/>
      <c r="KOF34" s="672"/>
      <c r="KOG34" s="672"/>
      <c r="KOH34" s="672"/>
      <c r="KOI34" s="672"/>
      <c r="KOJ34" s="672"/>
      <c r="KOK34" s="672"/>
      <c r="KOL34" s="672"/>
      <c r="KOM34" s="672"/>
      <c r="KON34" s="672"/>
      <c r="KOO34" s="672"/>
      <c r="KOP34" s="672"/>
      <c r="KOQ34" s="672"/>
      <c r="KOR34" s="672"/>
      <c r="KOS34" s="672"/>
      <c r="KOT34" s="672"/>
      <c r="KOU34" s="672"/>
      <c r="KOV34" s="672"/>
      <c r="KOW34" s="672"/>
      <c r="KOX34" s="672"/>
      <c r="KOY34" s="672"/>
      <c r="KOZ34" s="672"/>
      <c r="KPA34" s="672"/>
      <c r="KPB34" s="672"/>
      <c r="KPC34" s="672"/>
      <c r="KPD34" s="672"/>
      <c r="KPE34" s="672"/>
      <c r="KPF34" s="672"/>
      <c r="KPG34" s="672"/>
      <c r="KPH34" s="672"/>
      <c r="KPI34" s="672"/>
      <c r="KPJ34" s="672"/>
      <c r="KPK34" s="672"/>
      <c r="KPL34" s="672"/>
      <c r="KPM34" s="672"/>
      <c r="KPN34" s="672"/>
      <c r="KPO34" s="672"/>
      <c r="KPP34" s="672"/>
      <c r="KPQ34" s="672"/>
      <c r="KPR34" s="672"/>
      <c r="KPS34" s="672"/>
      <c r="KPT34" s="672"/>
      <c r="KPU34" s="672"/>
      <c r="KPV34" s="672"/>
      <c r="KPW34" s="672"/>
      <c r="KPX34" s="672"/>
      <c r="KPY34" s="672"/>
      <c r="KPZ34" s="672"/>
      <c r="KQA34" s="672"/>
      <c r="KQB34" s="672"/>
      <c r="KQC34" s="672"/>
      <c r="KQD34" s="672"/>
      <c r="KQE34" s="672"/>
      <c r="KQF34" s="672"/>
      <c r="KQG34" s="672"/>
      <c r="KQH34" s="672"/>
      <c r="KQI34" s="672"/>
      <c r="KQJ34" s="672"/>
      <c r="KQK34" s="672"/>
      <c r="KQL34" s="672"/>
      <c r="KQM34" s="672"/>
      <c r="KQN34" s="672"/>
      <c r="KQO34" s="672"/>
      <c r="KQP34" s="672"/>
      <c r="KQQ34" s="672"/>
      <c r="KQR34" s="672"/>
      <c r="KQS34" s="672"/>
      <c r="KQT34" s="672"/>
      <c r="KQU34" s="672"/>
      <c r="KQV34" s="672"/>
      <c r="KQW34" s="672"/>
      <c r="KQX34" s="672"/>
      <c r="KQY34" s="672"/>
      <c r="KQZ34" s="672"/>
      <c r="KRA34" s="672"/>
      <c r="KRB34" s="672"/>
      <c r="KRC34" s="672"/>
      <c r="KRD34" s="672"/>
      <c r="KRE34" s="672"/>
      <c r="KRF34" s="672"/>
      <c r="KRG34" s="672"/>
      <c r="KRH34" s="672"/>
      <c r="KRI34" s="672"/>
      <c r="KRJ34" s="672"/>
      <c r="KRK34" s="672"/>
      <c r="KRL34" s="672"/>
      <c r="KRM34" s="672"/>
      <c r="KRN34" s="672"/>
      <c r="KRO34" s="672"/>
      <c r="KRP34" s="672"/>
      <c r="KRQ34" s="672"/>
      <c r="KRR34" s="672"/>
      <c r="KRS34" s="672"/>
      <c r="KRT34" s="672"/>
      <c r="KRU34" s="672"/>
      <c r="KRV34" s="672"/>
      <c r="KRW34" s="672"/>
      <c r="KRX34" s="672"/>
      <c r="KRY34" s="672"/>
      <c r="KRZ34" s="672"/>
      <c r="KSA34" s="672"/>
      <c r="KSB34" s="672"/>
      <c r="KSC34" s="672"/>
      <c r="KSD34" s="672"/>
      <c r="KSE34" s="672"/>
      <c r="KSF34" s="672"/>
      <c r="KSG34" s="672"/>
      <c r="KSH34" s="672"/>
      <c r="KSI34" s="672"/>
      <c r="KSJ34" s="672"/>
      <c r="KSK34" s="672"/>
      <c r="KSL34" s="672"/>
      <c r="KSM34" s="672"/>
      <c r="KSN34" s="672"/>
      <c r="KSO34" s="672"/>
      <c r="KSP34" s="672"/>
      <c r="KSQ34" s="672"/>
      <c r="KSR34" s="672"/>
      <c r="KSS34" s="672"/>
      <c r="KST34" s="672"/>
      <c r="KSU34" s="672"/>
      <c r="KSV34" s="672"/>
      <c r="KSW34" s="672"/>
      <c r="KSX34" s="672"/>
      <c r="KSY34" s="672"/>
      <c r="KSZ34" s="672"/>
      <c r="KTA34" s="672"/>
      <c r="KTB34" s="672"/>
      <c r="KTC34" s="672"/>
      <c r="KTD34" s="672"/>
      <c r="KTE34" s="672"/>
      <c r="KTF34" s="672"/>
      <c r="KTG34" s="672"/>
      <c r="KTH34" s="672"/>
      <c r="KTI34" s="672"/>
      <c r="KTJ34" s="672"/>
      <c r="KTK34" s="672"/>
      <c r="KTL34" s="672"/>
      <c r="KTM34" s="672"/>
      <c r="KTN34" s="672"/>
      <c r="KTO34" s="672"/>
      <c r="KTP34" s="672"/>
      <c r="KTQ34" s="672"/>
      <c r="KTR34" s="672"/>
      <c r="KTS34" s="672"/>
      <c r="KTT34" s="672"/>
      <c r="KTU34" s="672"/>
      <c r="KTV34" s="672"/>
      <c r="KTW34" s="672"/>
      <c r="KTX34" s="672"/>
      <c r="KTY34" s="672"/>
      <c r="KTZ34" s="672"/>
      <c r="KUA34" s="672"/>
      <c r="KUB34" s="672"/>
      <c r="KUC34" s="672"/>
      <c r="KUD34" s="672"/>
      <c r="KUE34" s="672"/>
      <c r="KUF34" s="672"/>
      <c r="KUG34" s="672"/>
      <c r="KUH34" s="672"/>
      <c r="KUI34" s="672"/>
      <c r="KUJ34" s="672"/>
      <c r="KUK34" s="672"/>
      <c r="KUL34" s="672"/>
      <c r="KUM34" s="672"/>
      <c r="KUN34" s="672"/>
      <c r="KUO34" s="672"/>
      <c r="KUP34" s="672"/>
      <c r="KUQ34" s="672"/>
      <c r="KUR34" s="672"/>
      <c r="KUS34" s="672"/>
      <c r="KUT34" s="672"/>
      <c r="KUU34" s="672"/>
      <c r="KUV34" s="672"/>
      <c r="KUW34" s="672"/>
      <c r="KUX34" s="672"/>
      <c r="KUY34" s="672"/>
      <c r="KUZ34" s="672"/>
      <c r="KVA34" s="672"/>
      <c r="KVB34" s="672"/>
      <c r="KVC34" s="672"/>
      <c r="KVD34" s="672"/>
      <c r="KVE34" s="672"/>
      <c r="KVF34" s="672"/>
      <c r="KVG34" s="672"/>
      <c r="KVH34" s="672"/>
      <c r="KVI34" s="672"/>
      <c r="KVJ34" s="672"/>
      <c r="KVK34" s="672"/>
      <c r="KVL34" s="672"/>
      <c r="KVM34" s="672"/>
      <c r="KVN34" s="672"/>
      <c r="KVO34" s="672"/>
      <c r="KVP34" s="672"/>
      <c r="KVQ34" s="672"/>
      <c r="KVR34" s="672"/>
      <c r="KVS34" s="672"/>
      <c r="KVT34" s="672"/>
      <c r="KVU34" s="672"/>
      <c r="KVV34" s="672"/>
      <c r="KVW34" s="672"/>
      <c r="KVX34" s="672"/>
      <c r="KVY34" s="672"/>
      <c r="KVZ34" s="672"/>
      <c r="KWA34" s="672"/>
      <c r="KWB34" s="672"/>
      <c r="KWC34" s="672"/>
      <c r="KWD34" s="672"/>
      <c r="KWE34" s="672"/>
      <c r="KWF34" s="672"/>
      <c r="KWG34" s="672"/>
      <c r="KWH34" s="672"/>
      <c r="KWI34" s="672"/>
      <c r="KWJ34" s="672"/>
      <c r="KWK34" s="672"/>
      <c r="KWL34" s="672"/>
      <c r="KWM34" s="672"/>
      <c r="KWN34" s="672"/>
      <c r="KWO34" s="672"/>
      <c r="KWP34" s="672"/>
      <c r="KWQ34" s="672"/>
      <c r="KWR34" s="672"/>
      <c r="KWS34" s="672"/>
      <c r="KWT34" s="672"/>
      <c r="KWU34" s="672"/>
      <c r="KWV34" s="672"/>
      <c r="KWW34" s="672"/>
      <c r="KWX34" s="672"/>
      <c r="KWY34" s="672"/>
      <c r="KWZ34" s="672"/>
      <c r="KXA34" s="672"/>
      <c r="KXB34" s="672"/>
      <c r="KXC34" s="672"/>
      <c r="KXD34" s="672"/>
      <c r="KXE34" s="672"/>
      <c r="KXF34" s="672"/>
      <c r="KXG34" s="672"/>
      <c r="KXH34" s="672"/>
      <c r="KXI34" s="672"/>
      <c r="KXJ34" s="672"/>
      <c r="KXK34" s="672"/>
      <c r="KXL34" s="672"/>
      <c r="KXM34" s="672"/>
      <c r="KXN34" s="672"/>
      <c r="KXO34" s="672"/>
      <c r="KXP34" s="672"/>
      <c r="KXQ34" s="672"/>
      <c r="KXR34" s="672"/>
      <c r="KXS34" s="672"/>
      <c r="KXT34" s="672"/>
      <c r="KXU34" s="672"/>
      <c r="KXV34" s="672"/>
      <c r="KXW34" s="672"/>
      <c r="KXX34" s="672"/>
      <c r="KXY34" s="672"/>
      <c r="KXZ34" s="672"/>
      <c r="KYA34" s="672"/>
      <c r="KYB34" s="672"/>
      <c r="KYC34" s="672"/>
      <c r="KYD34" s="672"/>
      <c r="KYE34" s="672"/>
      <c r="KYF34" s="672"/>
      <c r="KYG34" s="672"/>
      <c r="KYH34" s="672"/>
      <c r="KYI34" s="672"/>
      <c r="KYJ34" s="672"/>
      <c r="KYK34" s="672"/>
      <c r="KYL34" s="672"/>
      <c r="KYM34" s="672"/>
      <c r="KYN34" s="672"/>
      <c r="KYO34" s="672"/>
      <c r="KYP34" s="672"/>
      <c r="KYQ34" s="672"/>
      <c r="KYR34" s="672"/>
      <c r="KYS34" s="672"/>
      <c r="KYT34" s="672"/>
      <c r="KYU34" s="672"/>
      <c r="KYV34" s="672"/>
      <c r="KYW34" s="672"/>
      <c r="KYX34" s="672"/>
      <c r="KYY34" s="672"/>
      <c r="KYZ34" s="672"/>
      <c r="KZA34" s="672"/>
      <c r="KZB34" s="672"/>
      <c r="KZC34" s="672"/>
      <c r="KZD34" s="672"/>
      <c r="KZE34" s="672"/>
      <c r="KZF34" s="672"/>
      <c r="KZG34" s="672"/>
      <c r="KZH34" s="672"/>
      <c r="KZI34" s="672"/>
      <c r="KZJ34" s="672"/>
      <c r="KZK34" s="672"/>
      <c r="KZL34" s="672"/>
      <c r="KZM34" s="672"/>
      <c r="KZN34" s="672"/>
      <c r="KZO34" s="672"/>
      <c r="KZP34" s="672"/>
      <c r="KZQ34" s="672"/>
      <c r="KZR34" s="672"/>
      <c r="KZS34" s="672"/>
      <c r="KZT34" s="672"/>
      <c r="KZU34" s="672"/>
      <c r="KZV34" s="672"/>
      <c r="KZW34" s="672"/>
      <c r="KZX34" s="672"/>
      <c r="KZY34" s="672"/>
      <c r="KZZ34" s="672"/>
      <c r="LAA34" s="672"/>
      <c r="LAB34" s="672"/>
      <c r="LAC34" s="672"/>
      <c r="LAD34" s="672"/>
      <c r="LAE34" s="672"/>
      <c r="LAF34" s="672"/>
      <c r="LAG34" s="672"/>
      <c r="LAH34" s="672"/>
      <c r="LAI34" s="672"/>
      <c r="LAJ34" s="672"/>
      <c r="LAK34" s="672"/>
      <c r="LAL34" s="672"/>
      <c r="LAM34" s="672"/>
      <c r="LAN34" s="672"/>
      <c r="LAO34" s="672"/>
      <c r="LAP34" s="672"/>
      <c r="LAQ34" s="672"/>
      <c r="LAR34" s="672"/>
      <c r="LAS34" s="672"/>
      <c r="LAT34" s="672"/>
      <c r="LAU34" s="672"/>
      <c r="LAV34" s="672"/>
      <c r="LAW34" s="672"/>
      <c r="LAX34" s="672"/>
      <c r="LAY34" s="672"/>
      <c r="LAZ34" s="672"/>
      <c r="LBA34" s="672"/>
      <c r="LBB34" s="672"/>
      <c r="LBC34" s="672"/>
      <c r="LBD34" s="672"/>
      <c r="LBE34" s="672"/>
      <c r="LBF34" s="672"/>
      <c r="LBG34" s="672"/>
      <c r="LBH34" s="672"/>
      <c r="LBI34" s="672"/>
      <c r="LBJ34" s="672"/>
      <c r="LBK34" s="672"/>
      <c r="LBL34" s="672"/>
      <c r="LBM34" s="672"/>
      <c r="LBN34" s="672"/>
      <c r="LBO34" s="672"/>
      <c r="LBP34" s="672"/>
      <c r="LBQ34" s="672"/>
      <c r="LBR34" s="672"/>
      <c r="LBS34" s="672"/>
      <c r="LBT34" s="672"/>
      <c r="LBU34" s="672"/>
      <c r="LBV34" s="672"/>
      <c r="LBW34" s="672"/>
      <c r="LBX34" s="672"/>
      <c r="LBY34" s="672"/>
      <c r="LBZ34" s="672"/>
      <c r="LCA34" s="672"/>
      <c r="LCB34" s="672"/>
      <c r="LCC34" s="672"/>
      <c r="LCD34" s="672"/>
      <c r="LCE34" s="672"/>
      <c r="LCF34" s="672"/>
      <c r="LCG34" s="672"/>
      <c r="LCH34" s="672"/>
      <c r="LCI34" s="672"/>
      <c r="LCJ34" s="672"/>
      <c r="LCK34" s="672"/>
      <c r="LCL34" s="672"/>
      <c r="LCM34" s="672"/>
      <c r="LCN34" s="672"/>
      <c r="LCO34" s="672"/>
      <c r="LCP34" s="672"/>
      <c r="LCQ34" s="672"/>
      <c r="LCR34" s="672"/>
      <c r="LCS34" s="672"/>
      <c r="LCT34" s="672"/>
      <c r="LCU34" s="672"/>
      <c r="LCV34" s="672"/>
      <c r="LCW34" s="672"/>
      <c r="LCX34" s="672"/>
      <c r="LCY34" s="672"/>
      <c r="LCZ34" s="672"/>
      <c r="LDA34" s="672"/>
      <c r="LDB34" s="672"/>
      <c r="LDC34" s="672"/>
      <c r="LDD34" s="672"/>
      <c r="LDE34" s="672"/>
      <c r="LDF34" s="672"/>
      <c r="LDG34" s="672"/>
      <c r="LDH34" s="672"/>
      <c r="LDI34" s="672"/>
      <c r="LDJ34" s="672"/>
      <c r="LDK34" s="672"/>
      <c r="LDL34" s="672"/>
      <c r="LDM34" s="672"/>
      <c r="LDN34" s="672"/>
      <c r="LDO34" s="672"/>
      <c r="LDP34" s="672"/>
      <c r="LDQ34" s="672"/>
      <c r="LDR34" s="672"/>
      <c r="LDS34" s="672"/>
      <c r="LDT34" s="672"/>
      <c r="LDU34" s="672"/>
      <c r="LDV34" s="672"/>
      <c r="LDW34" s="672"/>
      <c r="LDX34" s="672"/>
      <c r="LDY34" s="672"/>
      <c r="LDZ34" s="672"/>
      <c r="LEA34" s="672"/>
      <c r="LEB34" s="672"/>
      <c r="LEC34" s="672"/>
      <c r="LED34" s="672"/>
      <c r="LEE34" s="672"/>
      <c r="LEF34" s="672"/>
      <c r="LEG34" s="672"/>
      <c r="LEH34" s="672"/>
      <c r="LEI34" s="672"/>
      <c r="LEJ34" s="672"/>
      <c r="LEK34" s="672"/>
      <c r="LEL34" s="672"/>
      <c r="LEM34" s="672"/>
      <c r="LEN34" s="672"/>
      <c r="LEO34" s="672"/>
      <c r="LEP34" s="672"/>
      <c r="LEQ34" s="672"/>
      <c r="LER34" s="672"/>
      <c r="LES34" s="672"/>
      <c r="LET34" s="672"/>
      <c r="LEU34" s="672"/>
      <c r="LEV34" s="672"/>
      <c r="LEW34" s="672"/>
      <c r="LEX34" s="672"/>
      <c r="LEY34" s="672"/>
      <c r="LEZ34" s="672"/>
      <c r="LFA34" s="672"/>
      <c r="LFB34" s="672"/>
      <c r="LFC34" s="672"/>
      <c r="LFD34" s="672"/>
      <c r="LFE34" s="672"/>
      <c r="LFF34" s="672"/>
      <c r="LFG34" s="672"/>
      <c r="LFH34" s="672"/>
      <c r="LFI34" s="672"/>
      <c r="LFJ34" s="672"/>
      <c r="LFK34" s="672"/>
      <c r="LFL34" s="672"/>
      <c r="LFM34" s="672"/>
      <c r="LFN34" s="672"/>
      <c r="LFO34" s="672"/>
      <c r="LFP34" s="672"/>
      <c r="LFQ34" s="672"/>
      <c r="LFR34" s="672"/>
      <c r="LFS34" s="672"/>
      <c r="LFT34" s="672"/>
      <c r="LFU34" s="672"/>
      <c r="LFV34" s="672"/>
      <c r="LFW34" s="672"/>
      <c r="LFX34" s="672"/>
      <c r="LFY34" s="672"/>
      <c r="LFZ34" s="672"/>
      <c r="LGA34" s="672"/>
      <c r="LGB34" s="672"/>
      <c r="LGC34" s="672"/>
      <c r="LGD34" s="672"/>
      <c r="LGE34" s="672"/>
      <c r="LGF34" s="672"/>
      <c r="LGG34" s="672"/>
      <c r="LGH34" s="672"/>
      <c r="LGI34" s="672"/>
      <c r="LGJ34" s="672"/>
      <c r="LGK34" s="672"/>
      <c r="LGL34" s="672"/>
      <c r="LGM34" s="672"/>
      <c r="LGN34" s="672"/>
      <c r="LGO34" s="672"/>
      <c r="LGP34" s="672"/>
      <c r="LGQ34" s="672"/>
      <c r="LGR34" s="672"/>
      <c r="LGS34" s="672"/>
      <c r="LGT34" s="672"/>
      <c r="LGU34" s="672"/>
      <c r="LGV34" s="672"/>
      <c r="LGW34" s="672"/>
      <c r="LGX34" s="672"/>
      <c r="LGY34" s="672"/>
      <c r="LGZ34" s="672"/>
      <c r="LHA34" s="672"/>
      <c r="LHB34" s="672"/>
      <c r="LHC34" s="672"/>
      <c r="LHD34" s="672"/>
      <c r="LHE34" s="672"/>
      <c r="LHF34" s="672"/>
      <c r="LHG34" s="672"/>
      <c r="LHH34" s="672"/>
      <c r="LHI34" s="672"/>
      <c r="LHJ34" s="672"/>
      <c r="LHK34" s="672"/>
      <c r="LHL34" s="672"/>
      <c r="LHM34" s="672"/>
      <c r="LHN34" s="672"/>
      <c r="LHO34" s="672"/>
      <c r="LHP34" s="672"/>
      <c r="LHQ34" s="672"/>
      <c r="LHR34" s="672"/>
      <c r="LHS34" s="672"/>
      <c r="LHT34" s="672"/>
      <c r="LHU34" s="672"/>
      <c r="LHV34" s="672"/>
      <c r="LHW34" s="672"/>
      <c r="LHX34" s="672"/>
      <c r="LHY34" s="672"/>
      <c r="LHZ34" s="672"/>
      <c r="LIA34" s="672"/>
      <c r="LIB34" s="672"/>
      <c r="LIC34" s="672"/>
      <c r="LID34" s="672"/>
      <c r="LIE34" s="672"/>
      <c r="LIF34" s="672"/>
      <c r="LIG34" s="672"/>
      <c r="LIH34" s="672"/>
      <c r="LII34" s="672"/>
      <c r="LIJ34" s="672"/>
      <c r="LIK34" s="672"/>
      <c r="LIL34" s="672"/>
      <c r="LIM34" s="672"/>
      <c r="LIN34" s="672"/>
      <c r="LIO34" s="672"/>
      <c r="LIP34" s="672"/>
      <c r="LIQ34" s="672"/>
      <c r="LIR34" s="672"/>
      <c r="LIS34" s="672"/>
      <c r="LIT34" s="672"/>
      <c r="LIU34" s="672"/>
      <c r="LIV34" s="672"/>
      <c r="LIW34" s="672"/>
      <c r="LIX34" s="672"/>
      <c r="LIY34" s="672"/>
      <c r="LIZ34" s="672"/>
      <c r="LJA34" s="672"/>
      <c r="LJB34" s="672"/>
      <c r="LJC34" s="672"/>
      <c r="LJD34" s="672"/>
      <c r="LJE34" s="672"/>
      <c r="LJF34" s="672"/>
      <c r="LJG34" s="672"/>
      <c r="LJH34" s="672"/>
      <c r="LJI34" s="672"/>
      <c r="LJJ34" s="672"/>
      <c r="LJK34" s="672"/>
      <c r="LJL34" s="672"/>
      <c r="LJM34" s="672"/>
      <c r="LJN34" s="672"/>
      <c r="LJO34" s="672"/>
      <c r="LJP34" s="672"/>
      <c r="LJQ34" s="672"/>
      <c r="LJR34" s="672"/>
      <c r="LJS34" s="672"/>
      <c r="LJT34" s="672"/>
      <c r="LJU34" s="672"/>
      <c r="LJV34" s="672"/>
      <c r="LJW34" s="672"/>
      <c r="LJX34" s="672"/>
      <c r="LJY34" s="672"/>
      <c r="LJZ34" s="672"/>
      <c r="LKA34" s="672"/>
      <c r="LKB34" s="672"/>
      <c r="LKC34" s="672"/>
      <c r="LKD34" s="672"/>
      <c r="LKE34" s="672"/>
      <c r="LKF34" s="672"/>
      <c r="LKG34" s="672"/>
      <c r="LKH34" s="672"/>
      <c r="LKI34" s="672"/>
      <c r="LKJ34" s="672"/>
      <c r="LKK34" s="672"/>
      <c r="LKL34" s="672"/>
      <c r="LKM34" s="672"/>
      <c r="LKN34" s="672"/>
      <c r="LKO34" s="672"/>
      <c r="LKP34" s="672"/>
      <c r="LKQ34" s="672"/>
      <c r="LKR34" s="672"/>
      <c r="LKS34" s="672"/>
      <c r="LKT34" s="672"/>
      <c r="LKU34" s="672"/>
      <c r="LKV34" s="672"/>
      <c r="LKW34" s="672"/>
      <c r="LKX34" s="672"/>
      <c r="LKY34" s="672"/>
      <c r="LKZ34" s="672"/>
      <c r="LLA34" s="672"/>
      <c r="LLB34" s="672"/>
      <c r="LLC34" s="672"/>
      <c r="LLD34" s="672"/>
      <c r="LLE34" s="672"/>
      <c r="LLF34" s="672"/>
      <c r="LLG34" s="672"/>
      <c r="LLH34" s="672"/>
      <c r="LLI34" s="672"/>
      <c r="LLJ34" s="672"/>
      <c r="LLK34" s="672"/>
      <c r="LLL34" s="672"/>
      <c r="LLM34" s="672"/>
      <c r="LLN34" s="672"/>
      <c r="LLO34" s="672"/>
      <c r="LLP34" s="672"/>
      <c r="LLQ34" s="672"/>
      <c r="LLR34" s="672"/>
      <c r="LLS34" s="672"/>
      <c r="LLT34" s="672"/>
      <c r="LLU34" s="672"/>
      <c r="LLV34" s="672"/>
      <c r="LLW34" s="672"/>
      <c r="LLX34" s="672"/>
      <c r="LLY34" s="672"/>
      <c r="LLZ34" s="672"/>
      <c r="LMA34" s="672"/>
      <c r="LMB34" s="672"/>
      <c r="LMC34" s="672"/>
      <c r="LMD34" s="672"/>
      <c r="LME34" s="672"/>
      <c r="LMF34" s="672"/>
      <c r="LMG34" s="672"/>
      <c r="LMH34" s="672"/>
      <c r="LMI34" s="672"/>
      <c r="LMJ34" s="672"/>
      <c r="LMK34" s="672"/>
      <c r="LML34" s="672"/>
      <c r="LMM34" s="672"/>
      <c r="LMN34" s="672"/>
      <c r="LMO34" s="672"/>
      <c r="LMP34" s="672"/>
      <c r="LMQ34" s="672"/>
      <c r="LMR34" s="672"/>
      <c r="LMS34" s="672"/>
      <c r="LMT34" s="672"/>
      <c r="LMU34" s="672"/>
      <c r="LMV34" s="672"/>
      <c r="LMW34" s="672"/>
      <c r="LMX34" s="672"/>
      <c r="LMY34" s="672"/>
      <c r="LMZ34" s="672"/>
      <c r="LNA34" s="672"/>
      <c r="LNB34" s="672"/>
      <c r="LNC34" s="672"/>
      <c r="LND34" s="672"/>
      <c r="LNE34" s="672"/>
      <c r="LNF34" s="672"/>
      <c r="LNG34" s="672"/>
      <c r="LNH34" s="672"/>
      <c r="LNI34" s="672"/>
      <c r="LNJ34" s="672"/>
      <c r="LNK34" s="672"/>
      <c r="LNL34" s="672"/>
      <c r="LNM34" s="672"/>
      <c r="LNN34" s="672"/>
      <c r="LNO34" s="672"/>
      <c r="LNP34" s="672"/>
      <c r="LNQ34" s="672"/>
      <c r="LNR34" s="672"/>
      <c r="LNS34" s="672"/>
      <c r="LNT34" s="672"/>
      <c r="LNU34" s="672"/>
      <c r="LNV34" s="672"/>
      <c r="LNW34" s="672"/>
      <c r="LNX34" s="672"/>
      <c r="LNY34" s="672"/>
      <c r="LNZ34" s="672"/>
      <c r="LOA34" s="672"/>
      <c r="LOB34" s="672"/>
      <c r="LOC34" s="672"/>
      <c r="LOD34" s="672"/>
      <c r="LOE34" s="672"/>
      <c r="LOF34" s="672"/>
      <c r="LOG34" s="672"/>
      <c r="LOH34" s="672"/>
      <c r="LOI34" s="672"/>
      <c r="LOJ34" s="672"/>
      <c r="LOK34" s="672"/>
      <c r="LOL34" s="672"/>
      <c r="LOM34" s="672"/>
      <c r="LON34" s="672"/>
      <c r="LOO34" s="672"/>
      <c r="LOP34" s="672"/>
      <c r="LOQ34" s="672"/>
      <c r="LOR34" s="672"/>
      <c r="LOS34" s="672"/>
      <c r="LOT34" s="672"/>
      <c r="LOU34" s="672"/>
      <c r="LOV34" s="672"/>
      <c r="LOW34" s="672"/>
      <c r="LOX34" s="672"/>
      <c r="LOY34" s="672"/>
      <c r="LOZ34" s="672"/>
      <c r="LPA34" s="672"/>
      <c r="LPB34" s="672"/>
      <c r="LPC34" s="672"/>
      <c r="LPD34" s="672"/>
      <c r="LPE34" s="672"/>
      <c r="LPF34" s="672"/>
      <c r="LPG34" s="672"/>
      <c r="LPH34" s="672"/>
      <c r="LPI34" s="672"/>
      <c r="LPJ34" s="672"/>
      <c r="LPK34" s="672"/>
      <c r="LPL34" s="672"/>
      <c r="LPM34" s="672"/>
      <c r="LPN34" s="672"/>
      <c r="LPO34" s="672"/>
      <c r="LPP34" s="672"/>
      <c r="LPQ34" s="672"/>
      <c r="LPR34" s="672"/>
      <c r="LPS34" s="672"/>
      <c r="LPT34" s="672"/>
      <c r="LPU34" s="672"/>
      <c r="LPV34" s="672"/>
      <c r="LPW34" s="672"/>
      <c r="LPX34" s="672"/>
      <c r="LPY34" s="672"/>
      <c r="LPZ34" s="672"/>
      <c r="LQA34" s="672"/>
      <c r="LQB34" s="672"/>
      <c r="LQC34" s="672"/>
      <c r="LQD34" s="672"/>
      <c r="LQE34" s="672"/>
      <c r="LQF34" s="672"/>
      <c r="LQG34" s="672"/>
      <c r="LQH34" s="672"/>
      <c r="LQI34" s="672"/>
      <c r="LQJ34" s="672"/>
      <c r="LQK34" s="672"/>
      <c r="LQL34" s="672"/>
      <c r="LQM34" s="672"/>
      <c r="LQN34" s="672"/>
      <c r="LQO34" s="672"/>
      <c r="LQP34" s="672"/>
      <c r="LQQ34" s="672"/>
      <c r="LQR34" s="672"/>
      <c r="LQS34" s="672"/>
      <c r="LQT34" s="672"/>
      <c r="LQU34" s="672"/>
      <c r="LQV34" s="672"/>
      <c r="LQW34" s="672"/>
      <c r="LQX34" s="672"/>
      <c r="LQY34" s="672"/>
      <c r="LQZ34" s="672"/>
      <c r="LRA34" s="672"/>
      <c r="LRB34" s="672"/>
      <c r="LRC34" s="672"/>
      <c r="LRD34" s="672"/>
      <c r="LRE34" s="672"/>
      <c r="LRF34" s="672"/>
      <c r="LRG34" s="672"/>
      <c r="LRH34" s="672"/>
      <c r="LRI34" s="672"/>
      <c r="LRJ34" s="672"/>
      <c r="LRK34" s="672"/>
      <c r="LRL34" s="672"/>
      <c r="LRM34" s="672"/>
      <c r="LRN34" s="672"/>
      <c r="LRO34" s="672"/>
      <c r="LRP34" s="672"/>
      <c r="LRQ34" s="672"/>
      <c r="LRR34" s="672"/>
      <c r="LRS34" s="672"/>
      <c r="LRT34" s="672"/>
      <c r="LRU34" s="672"/>
      <c r="LRV34" s="672"/>
      <c r="LRW34" s="672"/>
      <c r="LRX34" s="672"/>
      <c r="LRY34" s="672"/>
      <c r="LRZ34" s="672"/>
      <c r="LSA34" s="672"/>
      <c r="LSB34" s="672"/>
      <c r="LSC34" s="672"/>
      <c r="LSD34" s="672"/>
      <c r="LSE34" s="672"/>
      <c r="LSF34" s="672"/>
      <c r="LSG34" s="672"/>
      <c r="LSH34" s="672"/>
      <c r="LSI34" s="672"/>
      <c r="LSJ34" s="672"/>
      <c r="LSK34" s="672"/>
      <c r="LSL34" s="672"/>
      <c r="LSM34" s="672"/>
      <c r="LSN34" s="672"/>
      <c r="LSO34" s="672"/>
      <c r="LSP34" s="672"/>
      <c r="LSQ34" s="672"/>
      <c r="LSR34" s="672"/>
      <c r="LSS34" s="672"/>
      <c r="LST34" s="672"/>
      <c r="LSU34" s="672"/>
      <c r="LSV34" s="672"/>
      <c r="LSW34" s="672"/>
      <c r="LSX34" s="672"/>
      <c r="LSY34" s="672"/>
      <c r="LSZ34" s="672"/>
      <c r="LTA34" s="672"/>
      <c r="LTB34" s="672"/>
      <c r="LTC34" s="672"/>
      <c r="LTD34" s="672"/>
      <c r="LTE34" s="672"/>
      <c r="LTF34" s="672"/>
      <c r="LTG34" s="672"/>
      <c r="LTH34" s="672"/>
      <c r="LTI34" s="672"/>
      <c r="LTJ34" s="672"/>
      <c r="LTK34" s="672"/>
      <c r="LTL34" s="672"/>
      <c r="LTM34" s="672"/>
      <c r="LTN34" s="672"/>
      <c r="LTO34" s="672"/>
      <c r="LTP34" s="672"/>
      <c r="LTQ34" s="672"/>
      <c r="LTR34" s="672"/>
      <c r="LTS34" s="672"/>
      <c r="LTT34" s="672"/>
      <c r="LTU34" s="672"/>
      <c r="LTV34" s="672"/>
      <c r="LTW34" s="672"/>
      <c r="LTX34" s="672"/>
      <c r="LTY34" s="672"/>
      <c r="LTZ34" s="672"/>
      <c r="LUA34" s="672"/>
      <c r="LUB34" s="672"/>
      <c r="LUC34" s="672"/>
      <c r="LUD34" s="672"/>
      <c r="LUE34" s="672"/>
      <c r="LUF34" s="672"/>
      <c r="LUG34" s="672"/>
      <c r="LUH34" s="672"/>
      <c r="LUI34" s="672"/>
      <c r="LUJ34" s="672"/>
      <c r="LUK34" s="672"/>
      <c r="LUL34" s="672"/>
      <c r="LUM34" s="672"/>
      <c r="LUN34" s="672"/>
      <c r="LUO34" s="672"/>
      <c r="LUP34" s="672"/>
      <c r="LUQ34" s="672"/>
      <c r="LUR34" s="672"/>
      <c r="LUS34" s="672"/>
      <c r="LUT34" s="672"/>
      <c r="LUU34" s="672"/>
      <c r="LUV34" s="672"/>
      <c r="LUW34" s="672"/>
      <c r="LUX34" s="672"/>
      <c r="LUY34" s="672"/>
      <c r="LUZ34" s="672"/>
      <c r="LVA34" s="672"/>
      <c r="LVB34" s="672"/>
      <c r="LVC34" s="672"/>
      <c r="LVD34" s="672"/>
      <c r="LVE34" s="672"/>
      <c r="LVF34" s="672"/>
      <c r="LVG34" s="672"/>
      <c r="LVH34" s="672"/>
      <c r="LVI34" s="672"/>
      <c r="LVJ34" s="672"/>
      <c r="LVK34" s="672"/>
      <c r="LVL34" s="672"/>
      <c r="LVM34" s="672"/>
      <c r="LVN34" s="672"/>
      <c r="LVO34" s="672"/>
      <c r="LVP34" s="672"/>
      <c r="LVQ34" s="672"/>
      <c r="LVR34" s="672"/>
      <c r="LVS34" s="672"/>
      <c r="LVT34" s="672"/>
      <c r="LVU34" s="672"/>
      <c r="LVV34" s="672"/>
      <c r="LVW34" s="672"/>
      <c r="LVX34" s="672"/>
      <c r="LVY34" s="672"/>
      <c r="LVZ34" s="672"/>
      <c r="LWA34" s="672"/>
      <c r="LWB34" s="672"/>
      <c r="LWC34" s="672"/>
      <c r="LWD34" s="672"/>
      <c r="LWE34" s="672"/>
      <c r="LWF34" s="672"/>
      <c r="LWG34" s="672"/>
      <c r="LWH34" s="672"/>
      <c r="LWI34" s="672"/>
      <c r="LWJ34" s="672"/>
      <c r="LWK34" s="672"/>
      <c r="LWL34" s="672"/>
      <c r="LWM34" s="672"/>
      <c r="LWN34" s="672"/>
      <c r="LWO34" s="672"/>
      <c r="LWP34" s="672"/>
      <c r="LWQ34" s="672"/>
      <c r="LWR34" s="672"/>
      <c r="LWS34" s="672"/>
      <c r="LWT34" s="672"/>
      <c r="LWU34" s="672"/>
      <c r="LWV34" s="672"/>
      <c r="LWW34" s="672"/>
      <c r="LWX34" s="672"/>
      <c r="LWY34" s="672"/>
      <c r="LWZ34" s="672"/>
      <c r="LXA34" s="672"/>
      <c r="LXB34" s="672"/>
      <c r="LXC34" s="672"/>
      <c r="LXD34" s="672"/>
      <c r="LXE34" s="672"/>
      <c r="LXF34" s="672"/>
      <c r="LXG34" s="672"/>
      <c r="LXH34" s="672"/>
      <c r="LXI34" s="672"/>
      <c r="LXJ34" s="672"/>
      <c r="LXK34" s="672"/>
      <c r="LXL34" s="672"/>
      <c r="LXM34" s="672"/>
      <c r="LXN34" s="672"/>
      <c r="LXO34" s="672"/>
      <c r="LXP34" s="672"/>
      <c r="LXQ34" s="672"/>
      <c r="LXR34" s="672"/>
      <c r="LXS34" s="672"/>
      <c r="LXT34" s="672"/>
      <c r="LXU34" s="672"/>
      <c r="LXV34" s="672"/>
      <c r="LXW34" s="672"/>
      <c r="LXX34" s="672"/>
      <c r="LXY34" s="672"/>
      <c r="LXZ34" s="672"/>
      <c r="LYA34" s="672"/>
      <c r="LYB34" s="672"/>
      <c r="LYC34" s="672"/>
      <c r="LYD34" s="672"/>
      <c r="LYE34" s="672"/>
      <c r="LYF34" s="672"/>
      <c r="LYG34" s="672"/>
      <c r="LYH34" s="672"/>
      <c r="LYI34" s="672"/>
      <c r="LYJ34" s="672"/>
      <c r="LYK34" s="672"/>
      <c r="LYL34" s="672"/>
      <c r="LYM34" s="672"/>
      <c r="LYN34" s="672"/>
      <c r="LYO34" s="672"/>
      <c r="LYP34" s="672"/>
      <c r="LYQ34" s="672"/>
      <c r="LYR34" s="672"/>
      <c r="LYS34" s="672"/>
      <c r="LYT34" s="672"/>
      <c r="LYU34" s="672"/>
      <c r="LYV34" s="672"/>
      <c r="LYW34" s="672"/>
      <c r="LYX34" s="672"/>
      <c r="LYY34" s="672"/>
      <c r="LYZ34" s="672"/>
      <c r="LZA34" s="672"/>
      <c r="LZB34" s="672"/>
      <c r="LZC34" s="672"/>
      <c r="LZD34" s="672"/>
      <c r="LZE34" s="672"/>
      <c r="LZF34" s="672"/>
      <c r="LZG34" s="672"/>
      <c r="LZH34" s="672"/>
      <c r="LZI34" s="672"/>
      <c r="LZJ34" s="672"/>
      <c r="LZK34" s="672"/>
      <c r="LZL34" s="672"/>
      <c r="LZM34" s="672"/>
      <c r="LZN34" s="672"/>
      <c r="LZO34" s="672"/>
      <c r="LZP34" s="672"/>
      <c r="LZQ34" s="672"/>
      <c r="LZR34" s="672"/>
      <c r="LZS34" s="672"/>
      <c r="LZT34" s="672"/>
      <c r="LZU34" s="672"/>
      <c r="LZV34" s="672"/>
      <c r="LZW34" s="672"/>
      <c r="LZX34" s="672"/>
      <c r="LZY34" s="672"/>
      <c r="LZZ34" s="672"/>
      <c r="MAA34" s="672"/>
      <c r="MAB34" s="672"/>
      <c r="MAC34" s="672"/>
      <c r="MAD34" s="672"/>
      <c r="MAE34" s="672"/>
      <c r="MAF34" s="672"/>
      <c r="MAG34" s="672"/>
      <c r="MAH34" s="672"/>
      <c r="MAI34" s="672"/>
      <c r="MAJ34" s="672"/>
      <c r="MAK34" s="672"/>
      <c r="MAL34" s="672"/>
      <c r="MAM34" s="672"/>
      <c r="MAN34" s="672"/>
      <c r="MAO34" s="672"/>
      <c r="MAP34" s="672"/>
      <c r="MAQ34" s="672"/>
      <c r="MAR34" s="672"/>
      <c r="MAS34" s="672"/>
      <c r="MAT34" s="672"/>
      <c r="MAU34" s="672"/>
      <c r="MAV34" s="672"/>
      <c r="MAW34" s="672"/>
      <c r="MAX34" s="672"/>
      <c r="MAY34" s="672"/>
      <c r="MAZ34" s="672"/>
      <c r="MBA34" s="672"/>
      <c r="MBB34" s="672"/>
      <c r="MBC34" s="672"/>
      <c r="MBD34" s="672"/>
      <c r="MBE34" s="672"/>
      <c r="MBF34" s="672"/>
      <c r="MBG34" s="672"/>
      <c r="MBH34" s="672"/>
      <c r="MBI34" s="672"/>
      <c r="MBJ34" s="672"/>
      <c r="MBK34" s="672"/>
      <c r="MBL34" s="672"/>
      <c r="MBM34" s="672"/>
      <c r="MBN34" s="672"/>
      <c r="MBO34" s="672"/>
      <c r="MBP34" s="672"/>
      <c r="MBQ34" s="672"/>
      <c r="MBR34" s="672"/>
      <c r="MBS34" s="672"/>
      <c r="MBT34" s="672"/>
      <c r="MBU34" s="672"/>
      <c r="MBV34" s="672"/>
      <c r="MBW34" s="672"/>
      <c r="MBX34" s="672"/>
      <c r="MBY34" s="672"/>
      <c r="MBZ34" s="672"/>
      <c r="MCA34" s="672"/>
      <c r="MCB34" s="672"/>
      <c r="MCC34" s="672"/>
      <c r="MCD34" s="672"/>
      <c r="MCE34" s="672"/>
      <c r="MCF34" s="672"/>
      <c r="MCG34" s="672"/>
      <c r="MCH34" s="672"/>
      <c r="MCI34" s="672"/>
      <c r="MCJ34" s="672"/>
      <c r="MCK34" s="672"/>
      <c r="MCL34" s="672"/>
      <c r="MCM34" s="672"/>
      <c r="MCN34" s="672"/>
      <c r="MCO34" s="672"/>
      <c r="MCP34" s="672"/>
      <c r="MCQ34" s="672"/>
      <c r="MCR34" s="672"/>
      <c r="MCS34" s="672"/>
      <c r="MCT34" s="672"/>
      <c r="MCU34" s="672"/>
      <c r="MCV34" s="672"/>
      <c r="MCW34" s="672"/>
      <c r="MCX34" s="672"/>
      <c r="MCY34" s="672"/>
      <c r="MCZ34" s="672"/>
      <c r="MDA34" s="672"/>
      <c r="MDB34" s="672"/>
      <c r="MDC34" s="672"/>
      <c r="MDD34" s="672"/>
      <c r="MDE34" s="672"/>
      <c r="MDF34" s="672"/>
      <c r="MDG34" s="672"/>
      <c r="MDH34" s="672"/>
      <c r="MDI34" s="672"/>
      <c r="MDJ34" s="672"/>
      <c r="MDK34" s="672"/>
      <c r="MDL34" s="672"/>
      <c r="MDM34" s="672"/>
      <c r="MDN34" s="672"/>
      <c r="MDO34" s="672"/>
      <c r="MDP34" s="672"/>
      <c r="MDQ34" s="672"/>
      <c r="MDR34" s="672"/>
      <c r="MDS34" s="672"/>
      <c r="MDT34" s="672"/>
      <c r="MDU34" s="672"/>
      <c r="MDV34" s="672"/>
      <c r="MDW34" s="672"/>
      <c r="MDX34" s="672"/>
      <c r="MDY34" s="672"/>
      <c r="MDZ34" s="672"/>
      <c r="MEA34" s="672"/>
      <c r="MEB34" s="672"/>
      <c r="MEC34" s="672"/>
      <c r="MED34" s="672"/>
      <c r="MEE34" s="672"/>
      <c r="MEF34" s="672"/>
      <c r="MEG34" s="672"/>
      <c r="MEH34" s="672"/>
      <c r="MEI34" s="672"/>
      <c r="MEJ34" s="672"/>
      <c r="MEK34" s="672"/>
      <c r="MEL34" s="672"/>
      <c r="MEM34" s="672"/>
      <c r="MEN34" s="672"/>
      <c r="MEO34" s="672"/>
      <c r="MEP34" s="672"/>
      <c r="MEQ34" s="672"/>
      <c r="MER34" s="672"/>
      <c r="MES34" s="672"/>
      <c r="MET34" s="672"/>
      <c r="MEU34" s="672"/>
      <c r="MEV34" s="672"/>
      <c r="MEW34" s="672"/>
      <c r="MEX34" s="672"/>
      <c r="MEY34" s="672"/>
      <c r="MEZ34" s="672"/>
      <c r="MFA34" s="672"/>
      <c r="MFB34" s="672"/>
      <c r="MFC34" s="672"/>
      <c r="MFD34" s="672"/>
      <c r="MFE34" s="672"/>
      <c r="MFF34" s="672"/>
      <c r="MFG34" s="672"/>
      <c r="MFH34" s="672"/>
      <c r="MFI34" s="672"/>
      <c r="MFJ34" s="672"/>
      <c r="MFK34" s="672"/>
      <c r="MFL34" s="672"/>
      <c r="MFM34" s="672"/>
      <c r="MFN34" s="672"/>
      <c r="MFO34" s="672"/>
      <c r="MFP34" s="672"/>
      <c r="MFQ34" s="672"/>
      <c r="MFR34" s="672"/>
      <c r="MFS34" s="672"/>
      <c r="MFT34" s="672"/>
      <c r="MFU34" s="672"/>
      <c r="MFV34" s="672"/>
      <c r="MFW34" s="672"/>
      <c r="MFX34" s="672"/>
      <c r="MFY34" s="672"/>
      <c r="MFZ34" s="672"/>
      <c r="MGA34" s="672"/>
      <c r="MGB34" s="672"/>
      <c r="MGC34" s="672"/>
      <c r="MGD34" s="672"/>
      <c r="MGE34" s="672"/>
      <c r="MGF34" s="672"/>
      <c r="MGG34" s="672"/>
      <c r="MGH34" s="672"/>
      <c r="MGI34" s="672"/>
      <c r="MGJ34" s="672"/>
      <c r="MGK34" s="672"/>
      <c r="MGL34" s="672"/>
      <c r="MGM34" s="672"/>
      <c r="MGN34" s="672"/>
      <c r="MGO34" s="672"/>
      <c r="MGP34" s="672"/>
      <c r="MGQ34" s="672"/>
      <c r="MGR34" s="672"/>
      <c r="MGS34" s="672"/>
      <c r="MGT34" s="672"/>
      <c r="MGU34" s="672"/>
      <c r="MGV34" s="672"/>
      <c r="MGW34" s="672"/>
      <c r="MGX34" s="672"/>
      <c r="MGY34" s="672"/>
      <c r="MGZ34" s="672"/>
      <c r="MHA34" s="672"/>
      <c r="MHB34" s="672"/>
      <c r="MHC34" s="672"/>
      <c r="MHD34" s="672"/>
      <c r="MHE34" s="672"/>
      <c r="MHF34" s="672"/>
      <c r="MHG34" s="672"/>
      <c r="MHH34" s="672"/>
      <c r="MHI34" s="672"/>
      <c r="MHJ34" s="672"/>
      <c r="MHK34" s="672"/>
      <c r="MHL34" s="672"/>
      <c r="MHM34" s="672"/>
      <c r="MHN34" s="672"/>
      <c r="MHO34" s="672"/>
      <c r="MHP34" s="672"/>
      <c r="MHQ34" s="672"/>
      <c r="MHR34" s="672"/>
      <c r="MHS34" s="672"/>
      <c r="MHT34" s="672"/>
      <c r="MHU34" s="672"/>
      <c r="MHV34" s="672"/>
      <c r="MHW34" s="672"/>
      <c r="MHX34" s="672"/>
      <c r="MHY34" s="672"/>
      <c r="MHZ34" s="672"/>
      <c r="MIA34" s="672"/>
      <c r="MIB34" s="672"/>
      <c r="MIC34" s="672"/>
      <c r="MID34" s="672"/>
      <c r="MIE34" s="672"/>
      <c r="MIF34" s="672"/>
      <c r="MIG34" s="672"/>
      <c r="MIH34" s="672"/>
      <c r="MII34" s="672"/>
      <c r="MIJ34" s="672"/>
      <c r="MIK34" s="672"/>
      <c r="MIL34" s="672"/>
      <c r="MIM34" s="672"/>
      <c r="MIN34" s="672"/>
      <c r="MIO34" s="672"/>
      <c r="MIP34" s="672"/>
      <c r="MIQ34" s="672"/>
      <c r="MIR34" s="672"/>
      <c r="MIS34" s="672"/>
      <c r="MIT34" s="672"/>
      <c r="MIU34" s="672"/>
      <c r="MIV34" s="672"/>
      <c r="MIW34" s="672"/>
      <c r="MIX34" s="672"/>
      <c r="MIY34" s="672"/>
      <c r="MIZ34" s="672"/>
      <c r="MJA34" s="672"/>
      <c r="MJB34" s="672"/>
      <c r="MJC34" s="672"/>
      <c r="MJD34" s="672"/>
      <c r="MJE34" s="672"/>
      <c r="MJF34" s="672"/>
      <c r="MJG34" s="672"/>
      <c r="MJH34" s="672"/>
      <c r="MJI34" s="672"/>
      <c r="MJJ34" s="672"/>
      <c r="MJK34" s="672"/>
      <c r="MJL34" s="672"/>
      <c r="MJM34" s="672"/>
      <c r="MJN34" s="672"/>
      <c r="MJO34" s="672"/>
      <c r="MJP34" s="672"/>
      <c r="MJQ34" s="672"/>
      <c r="MJR34" s="672"/>
      <c r="MJS34" s="672"/>
      <c r="MJT34" s="672"/>
      <c r="MJU34" s="672"/>
      <c r="MJV34" s="672"/>
      <c r="MJW34" s="672"/>
      <c r="MJX34" s="672"/>
      <c r="MJY34" s="672"/>
      <c r="MJZ34" s="672"/>
      <c r="MKA34" s="672"/>
      <c r="MKB34" s="672"/>
      <c r="MKC34" s="672"/>
      <c r="MKD34" s="672"/>
      <c r="MKE34" s="672"/>
      <c r="MKF34" s="672"/>
      <c r="MKG34" s="672"/>
      <c r="MKH34" s="672"/>
      <c r="MKI34" s="672"/>
      <c r="MKJ34" s="672"/>
      <c r="MKK34" s="672"/>
      <c r="MKL34" s="672"/>
      <c r="MKM34" s="672"/>
      <c r="MKN34" s="672"/>
      <c r="MKO34" s="672"/>
      <c r="MKP34" s="672"/>
      <c r="MKQ34" s="672"/>
      <c r="MKR34" s="672"/>
      <c r="MKS34" s="672"/>
      <c r="MKT34" s="672"/>
      <c r="MKU34" s="672"/>
      <c r="MKV34" s="672"/>
      <c r="MKW34" s="672"/>
      <c r="MKX34" s="672"/>
      <c r="MKY34" s="672"/>
      <c r="MKZ34" s="672"/>
      <c r="MLA34" s="672"/>
      <c r="MLB34" s="672"/>
      <c r="MLC34" s="672"/>
      <c r="MLD34" s="672"/>
      <c r="MLE34" s="672"/>
      <c r="MLF34" s="672"/>
      <c r="MLG34" s="672"/>
      <c r="MLH34" s="672"/>
      <c r="MLI34" s="672"/>
      <c r="MLJ34" s="672"/>
      <c r="MLK34" s="672"/>
      <c r="MLL34" s="672"/>
      <c r="MLM34" s="672"/>
      <c r="MLN34" s="672"/>
      <c r="MLO34" s="672"/>
      <c r="MLP34" s="672"/>
      <c r="MLQ34" s="672"/>
      <c r="MLR34" s="672"/>
      <c r="MLS34" s="672"/>
      <c r="MLT34" s="672"/>
      <c r="MLU34" s="672"/>
      <c r="MLV34" s="672"/>
      <c r="MLW34" s="672"/>
      <c r="MLX34" s="672"/>
      <c r="MLY34" s="672"/>
      <c r="MLZ34" s="672"/>
      <c r="MMA34" s="672"/>
      <c r="MMB34" s="672"/>
      <c r="MMC34" s="672"/>
      <c r="MMD34" s="672"/>
      <c r="MME34" s="672"/>
      <c r="MMF34" s="672"/>
      <c r="MMG34" s="672"/>
      <c r="MMH34" s="672"/>
      <c r="MMI34" s="672"/>
      <c r="MMJ34" s="672"/>
      <c r="MMK34" s="672"/>
      <c r="MML34" s="672"/>
      <c r="MMM34" s="672"/>
      <c r="MMN34" s="672"/>
      <c r="MMO34" s="672"/>
      <c r="MMP34" s="672"/>
      <c r="MMQ34" s="672"/>
      <c r="MMR34" s="672"/>
      <c r="MMS34" s="672"/>
      <c r="MMT34" s="672"/>
      <c r="MMU34" s="672"/>
      <c r="MMV34" s="672"/>
      <c r="MMW34" s="672"/>
      <c r="MMX34" s="672"/>
      <c r="MMY34" s="672"/>
      <c r="MMZ34" s="672"/>
      <c r="MNA34" s="672"/>
      <c r="MNB34" s="672"/>
      <c r="MNC34" s="672"/>
      <c r="MND34" s="672"/>
      <c r="MNE34" s="672"/>
      <c r="MNF34" s="672"/>
      <c r="MNG34" s="672"/>
      <c r="MNH34" s="672"/>
      <c r="MNI34" s="672"/>
      <c r="MNJ34" s="672"/>
      <c r="MNK34" s="672"/>
      <c r="MNL34" s="672"/>
      <c r="MNM34" s="672"/>
      <c r="MNN34" s="672"/>
      <c r="MNO34" s="672"/>
      <c r="MNP34" s="672"/>
      <c r="MNQ34" s="672"/>
      <c r="MNR34" s="672"/>
      <c r="MNS34" s="672"/>
      <c r="MNT34" s="672"/>
      <c r="MNU34" s="672"/>
      <c r="MNV34" s="672"/>
      <c r="MNW34" s="672"/>
      <c r="MNX34" s="672"/>
      <c r="MNY34" s="672"/>
      <c r="MNZ34" s="672"/>
      <c r="MOA34" s="672"/>
      <c r="MOB34" s="672"/>
      <c r="MOC34" s="672"/>
      <c r="MOD34" s="672"/>
      <c r="MOE34" s="672"/>
      <c r="MOF34" s="672"/>
      <c r="MOG34" s="672"/>
      <c r="MOH34" s="672"/>
      <c r="MOI34" s="672"/>
      <c r="MOJ34" s="672"/>
      <c r="MOK34" s="672"/>
      <c r="MOL34" s="672"/>
      <c r="MOM34" s="672"/>
      <c r="MON34" s="672"/>
      <c r="MOO34" s="672"/>
      <c r="MOP34" s="672"/>
      <c r="MOQ34" s="672"/>
      <c r="MOR34" s="672"/>
      <c r="MOS34" s="672"/>
      <c r="MOT34" s="672"/>
      <c r="MOU34" s="672"/>
      <c r="MOV34" s="672"/>
      <c r="MOW34" s="672"/>
      <c r="MOX34" s="672"/>
      <c r="MOY34" s="672"/>
      <c r="MOZ34" s="672"/>
      <c r="MPA34" s="672"/>
      <c r="MPB34" s="672"/>
      <c r="MPC34" s="672"/>
      <c r="MPD34" s="672"/>
      <c r="MPE34" s="672"/>
      <c r="MPF34" s="672"/>
      <c r="MPG34" s="672"/>
      <c r="MPH34" s="672"/>
      <c r="MPI34" s="672"/>
      <c r="MPJ34" s="672"/>
      <c r="MPK34" s="672"/>
      <c r="MPL34" s="672"/>
      <c r="MPM34" s="672"/>
      <c r="MPN34" s="672"/>
      <c r="MPO34" s="672"/>
      <c r="MPP34" s="672"/>
      <c r="MPQ34" s="672"/>
      <c r="MPR34" s="672"/>
      <c r="MPS34" s="672"/>
      <c r="MPT34" s="672"/>
      <c r="MPU34" s="672"/>
      <c r="MPV34" s="672"/>
      <c r="MPW34" s="672"/>
      <c r="MPX34" s="672"/>
      <c r="MPY34" s="672"/>
      <c r="MPZ34" s="672"/>
      <c r="MQA34" s="672"/>
      <c r="MQB34" s="672"/>
      <c r="MQC34" s="672"/>
      <c r="MQD34" s="672"/>
      <c r="MQE34" s="672"/>
      <c r="MQF34" s="672"/>
      <c r="MQG34" s="672"/>
      <c r="MQH34" s="672"/>
      <c r="MQI34" s="672"/>
      <c r="MQJ34" s="672"/>
      <c r="MQK34" s="672"/>
      <c r="MQL34" s="672"/>
      <c r="MQM34" s="672"/>
      <c r="MQN34" s="672"/>
      <c r="MQO34" s="672"/>
      <c r="MQP34" s="672"/>
      <c r="MQQ34" s="672"/>
      <c r="MQR34" s="672"/>
      <c r="MQS34" s="672"/>
      <c r="MQT34" s="672"/>
      <c r="MQU34" s="672"/>
      <c r="MQV34" s="672"/>
      <c r="MQW34" s="672"/>
      <c r="MQX34" s="672"/>
      <c r="MQY34" s="672"/>
      <c r="MQZ34" s="672"/>
      <c r="MRA34" s="672"/>
      <c r="MRB34" s="672"/>
      <c r="MRC34" s="672"/>
      <c r="MRD34" s="672"/>
      <c r="MRE34" s="672"/>
      <c r="MRF34" s="672"/>
      <c r="MRG34" s="672"/>
      <c r="MRH34" s="672"/>
      <c r="MRI34" s="672"/>
      <c r="MRJ34" s="672"/>
      <c r="MRK34" s="672"/>
      <c r="MRL34" s="672"/>
      <c r="MRM34" s="672"/>
      <c r="MRN34" s="672"/>
      <c r="MRO34" s="672"/>
      <c r="MRP34" s="672"/>
      <c r="MRQ34" s="672"/>
      <c r="MRR34" s="672"/>
      <c r="MRS34" s="672"/>
      <c r="MRT34" s="672"/>
      <c r="MRU34" s="672"/>
      <c r="MRV34" s="672"/>
      <c r="MRW34" s="672"/>
      <c r="MRX34" s="672"/>
      <c r="MRY34" s="672"/>
      <c r="MRZ34" s="672"/>
      <c r="MSA34" s="672"/>
      <c r="MSB34" s="672"/>
      <c r="MSC34" s="672"/>
      <c r="MSD34" s="672"/>
      <c r="MSE34" s="672"/>
      <c r="MSF34" s="672"/>
      <c r="MSG34" s="672"/>
      <c r="MSH34" s="672"/>
      <c r="MSI34" s="672"/>
      <c r="MSJ34" s="672"/>
      <c r="MSK34" s="672"/>
      <c r="MSL34" s="672"/>
      <c r="MSM34" s="672"/>
      <c r="MSN34" s="672"/>
      <c r="MSO34" s="672"/>
      <c r="MSP34" s="672"/>
      <c r="MSQ34" s="672"/>
      <c r="MSR34" s="672"/>
      <c r="MSS34" s="672"/>
      <c r="MST34" s="672"/>
      <c r="MSU34" s="672"/>
      <c r="MSV34" s="672"/>
      <c r="MSW34" s="672"/>
      <c r="MSX34" s="672"/>
      <c r="MSY34" s="672"/>
      <c r="MSZ34" s="672"/>
      <c r="MTA34" s="672"/>
      <c r="MTB34" s="672"/>
      <c r="MTC34" s="672"/>
      <c r="MTD34" s="672"/>
      <c r="MTE34" s="672"/>
      <c r="MTF34" s="672"/>
      <c r="MTG34" s="672"/>
      <c r="MTH34" s="672"/>
      <c r="MTI34" s="672"/>
      <c r="MTJ34" s="672"/>
      <c r="MTK34" s="672"/>
      <c r="MTL34" s="672"/>
      <c r="MTM34" s="672"/>
      <c r="MTN34" s="672"/>
      <c r="MTO34" s="672"/>
      <c r="MTP34" s="672"/>
      <c r="MTQ34" s="672"/>
      <c r="MTR34" s="672"/>
      <c r="MTS34" s="672"/>
      <c r="MTT34" s="672"/>
      <c r="MTU34" s="672"/>
      <c r="MTV34" s="672"/>
      <c r="MTW34" s="672"/>
      <c r="MTX34" s="672"/>
      <c r="MTY34" s="672"/>
      <c r="MTZ34" s="672"/>
      <c r="MUA34" s="672"/>
      <c r="MUB34" s="672"/>
      <c r="MUC34" s="672"/>
      <c r="MUD34" s="672"/>
      <c r="MUE34" s="672"/>
      <c r="MUF34" s="672"/>
      <c r="MUG34" s="672"/>
      <c r="MUH34" s="672"/>
      <c r="MUI34" s="672"/>
      <c r="MUJ34" s="672"/>
      <c r="MUK34" s="672"/>
      <c r="MUL34" s="672"/>
      <c r="MUM34" s="672"/>
      <c r="MUN34" s="672"/>
      <c r="MUO34" s="672"/>
      <c r="MUP34" s="672"/>
      <c r="MUQ34" s="672"/>
      <c r="MUR34" s="672"/>
      <c r="MUS34" s="672"/>
      <c r="MUT34" s="672"/>
      <c r="MUU34" s="672"/>
      <c r="MUV34" s="672"/>
      <c r="MUW34" s="672"/>
      <c r="MUX34" s="672"/>
      <c r="MUY34" s="672"/>
      <c r="MUZ34" s="672"/>
      <c r="MVA34" s="672"/>
      <c r="MVB34" s="672"/>
      <c r="MVC34" s="672"/>
      <c r="MVD34" s="672"/>
      <c r="MVE34" s="672"/>
      <c r="MVF34" s="672"/>
      <c r="MVG34" s="672"/>
      <c r="MVH34" s="672"/>
      <c r="MVI34" s="672"/>
      <c r="MVJ34" s="672"/>
      <c r="MVK34" s="672"/>
      <c r="MVL34" s="672"/>
      <c r="MVM34" s="672"/>
      <c r="MVN34" s="672"/>
      <c r="MVO34" s="672"/>
      <c r="MVP34" s="672"/>
      <c r="MVQ34" s="672"/>
      <c r="MVR34" s="672"/>
      <c r="MVS34" s="672"/>
      <c r="MVT34" s="672"/>
      <c r="MVU34" s="672"/>
      <c r="MVV34" s="672"/>
      <c r="MVW34" s="672"/>
      <c r="MVX34" s="672"/>
      <c r="MVY34" s="672"/>
      <c r="MVZ34" s="672"/>
      <c r="MWA34" s="672"/>
      <c r="MWB34" s="672"/>
      <c r="MWC34" s="672"/>
      <c r="MWD34" s="672"/>
      <c r="MWE34" s="672"/>
      <c r="MWF34" s="672"/>
      <c r="MWG34" s="672"/>
      <c r="MWH34" s="672"/>
      <c r="MWI34" s="672"/>
      <c r="MWJ34" s="672"/>
      <c r="MWK34" s="672"/>
      <c r="MWL34" s="672"/>
      <c r="MWM34" s="672"/>
      <c r="MWN34" s="672"/>
      <c r="MWO34" s="672"/>
      <c r="MWP34" s="672"/>
      <c r="MWQ34" s="672"/>
      <c r="MWR34" s="672"/>
      <c r="MWS34" s="672"/>
      <c r="MWT34" s="672"/>
      <c r="MWU34" s="672"/>
      <c r="MWV34" s="672"/>
      <c r="MWW34" s="672"/>
      <c r="MWX34" s="672"/>
      <c r="MWY34" s="672"/>
      <c r="MWZ34" s="672"/>
      <c r="MXA34" s="672"/>
      <c r="MXB34" s="672"/>
      <c r="MXC34" s="672"/>
      <c r="MXD34" s="672"/>
      <c r="MXE34" s="672"/>
      <c r="MXF34" s="672"/>
      <c r="MXG34" s="672"/>
      <c r="MXH34" s="672"/>
      <c r="MXI34" s="672"/>
      <c r="MXJ34" s="672"/>
      <c r="MXK34" s="672"/>
      <c r="MXL34" s="672"/>
      <c r="MXM34" s="672"/>
      <c r="MXN34" s="672"/>
      <c r="MXO34" s="672"/>
      <c r="MXP34" s="672"/>
      <c r="MXQ34" s="672"/>
      <c r="MXR34" s="672"/>
      <c r="MXS34" s="672"/>
      <c r="MXT34" s="672"/>
      <c r="MXU34" s="672"/>
      <c r="MXV34" s="672"/>
      <c r="MXW34" s="672"/>
      <c r="MXX34" s="672"/>
      <c r="MXY34" s="672"/>
      <c r="MXZ34" s="672"/>
      <c r="MYA34" s="672"/>
      <c r="MYB34" s="672"/>
      <c r="MYC34" s="672"/>
      <c r="MYD34" s="672"/>
      <c r="MYE34" s="672"/>
      <c r="MYF34" s="672"/>
      <c r="MYG34" s="672"/>
      <c r="MYH34" s="672"/>
      <c r="MYI34" s="672"/>
      <c r="MYJ34" s="672"/>
      <c r="MYK34" s="672"/>
      <c r="MYL34" s="672"/>
      <c r="MYM34" s="672"/>
      <c r="MYN34" s="672"/>
      <c r="MYO34" s="672"/>
      <c r="MYP34" s="672"/>
      <c r="MYQ34" s="672"/>
      <c r="MYR34" s="672"/>
      <c r="MYS34" s="672"/>
      <c r="MYT34" s="672"/>
      <c r="MYU34" s="672"/>
      <c r="MYV34" s="672"/>
      <c r="MYW34" s="672"/>
      <c r="MYX34" s="672"/>
      <c r="MYY34" s="672"/>
      <c r="MYZ34" s="672"/>
      <c r="MZA34" s="672"/>
      <c r="MZB34" s="672"/>
      <c r="MZC34" s="672"/>
      <c r="MZD34" s="672"/>
      <c r="MZE34" s="672"/>
      <c r="MZF34" s="672"/>
      <c r="MZG34" s="672"/>
      <c r="MZH34" s="672"/>
      <c r="MZI34" s="672"/>
      <c r="MZJ34" s="672"/>
      <c r="MZK34" s="672"/>
      <c r="MZL34" s="672"/>
      <c r="MZM34" s="672"/>
      <c r="MZN34" s="672"/>
      <c r="MZO34" s="672"/>
      <c r="MZP34" s="672"/>
      <c r="MZQ34" s="672"/>
      <c r="MZR34" s="672"/>
      <c r="MZS34" s="672"/>
      <c r="MZT34" s="672"/>
      <c r="MZU34" s="672"/>
      <c r="MZV34" s="672"/>
      <c r="MZW34" s="672"/>
      <c r="MZX34" s="672"/>
      <c r="MZY34" s="672"/>
      <c r="MZZ34" s="672"/>
      <c r="NAA34" s="672"/>
      <c r="NAB34" s="672"/>
      <c r="NAC34" s="672"/>
      <c r="NAD34" s="672"/>
      <c r="NAE34" s="672"/>
      <c r="NAF34" s="672"/>
      <c r="NAG34" s="672"/>
      <c r="NAH34" s="672"/>
      <c r="NAI34" s="672"/>
      <c r="NAJ34" s="672"/>
      <c r="NAK34" s="672"/>
      <c r="NAL34" s="672"/>
      <c r="NAM34" s="672"/>
      <c r="NAN34" s="672"/>
      <c r="NAO34" s="672"/>
      <c r="NAP34" s="672"/>
      <c r="NAQ34" s="672"/>
      <c r="NAR34" s="672"/>
      <c r="NAS34" s="672"/>
      <c r="NAT34" s="672"/>
      <c r="NAU34" s="672"/>
      <c r="NAV34" s="672"/>
      <c r="NAW34" s="672"/>
      <c r="NAX34" s="672"/>
      <c r="NAY34" s="672"/>
      <c r="NAZ34" s="672"/>
      <c r="NBA34" s="672"/>
      <c r="NBB34" s="672"/>
      <c r="NBC34" s="672"/>
      <c r="NBD34" s="672"/>
      <c r="NBE34" s="672"/>
      <c r="NBF34" s="672"/>
      <c r="NBG34" s="672"/>
      <c r="NBH34" s="672"/>
      <c r="NBI34" s="672"/>
      <c r="NBJ34" s="672"/>
      <c r="NBK34" s="672"/>
      <c r="NBL34" s="672"/>
      <c r="NBM34" s="672"/>
      <c r="NBN34" s="672"/>
      <c r="NBO34" s="672"/>
      <c r="NBP34" s="672"/>
      <c r="NBQ34" s="672"/>
      <c r="NBR34" s="672"/>
      <c r="NBS34" s="672"/>
      <c r="NBT34" s="672"/>
      <c r="NBU34" s="672"/>
      <c r="NBV34" s="672"/>
      <c r="NBW34" s="672"/>
      <c r="NBX34" s="672"/>
      <c r="NBY34" s="672"/>
      <c r="NBZ34" s="672"/>
      <c r="NCA34" s="672"/>
      <c r="NCB34" s="672"/>
      <c r="NCC34" s="672"/>
      <c r="NCD34" s="672"/>
      <c r="NCE34" s="672"/>
      <c r="NCF34" s="672"/>
      <c r="NCG34" s="672"/>
      <c r="NCH34" s="672"/>
      <c r="NCI34" s="672"/>
      <c r="NCJ34" s="672"/>
      <c r="NCK34" s="672"/>
      <c r="NCL34" s="672"/>
      <c r="NCM34" s="672"/>
      <c r="NCN34" s="672"/>
      <c r="NCO34" s="672"/>
      <c r="NCP34" s="672"/>
      <c r="NCQ34" s="672"/>
      <c r="NCR34" s="672"/>
      <c r="NCS34" s="672"/>
      <c r="NCT34" s="672"/>
      <c r="NCU34" s="672"/>
      <c r="NCV34" s="672"/>
      <c r="NCW34" s="672"/>
      <c r="NCX34" s="672"/>
      <c r="NCY34" s="672"/>
      <c r="NCZ34" s="672"/>
      <c r="NDA34" s="672"/>
      <c r="NDB34" s="672"/>
      <c r="NDC34" s="672"/>
      <c r="NDD34" s="672"/>
      <c r="NDE34" s="672"/>
      <c r="NDF34" s="672"/>
      <c r="NDG34" s="672"/>
      <c r="NDH34" s="672"/>
      <c r="NDI34" s="672"/>
      <c r="NDJ34" s="672"/>
      <c r="NDK34" s="672"/>
      <c r="NDL34" s="672"/>
      <c r="NDM34" s="672"/>
      <c r="NDN34" s="672"/>
      <c r="NDO34" s="672"/>
      <c r="NDP34" s="672"/>
      <c r="NDQ34" s="672"/>
      <c r="NDR34" s="672"/>
      <c r="NDS34" s="672"/>
      <c r="NDT34" s="672"/>
      <c r="NDU34" s="672"/>
      <c r="NDV34" s="672"/>
      <c r="NDW34" s="672"/>
      <c r="NDX34" s="672"/>
      <c r="NDY34" s="672"/>
      <c r="NDZ34" s="672"/>
      <c r="NEA34" s="672"/>
      <c r="NEB34" s="672"/>
      <c r="NEC34" s="672"/>
      <c r="NED34" s="672"/>
      <c r="NEE34" s="672"/>
      <c r="NEF34" s="672"/>
      <c r="NEG34" s="672"/>
      <c r="NEH34" s="672"/>
      <c r="NEI34" s="672"/>
      <c r="NEJ34" s="672"/>
      <c r="NEK34" s="672"/>
      <c r="NEL34" s="672"/>
      <c r="NEM34" s="672"/>
      <c r="NEN34" s="672"/>
      <c r="NEO34" s="672"/>
      <c r="NEP34" s="672"/>
      <c r="NEQ34" s="672"/>
      <c r="NER34" s="672"/>
      <c r="NES34" s="672"/>
      <c r="NET34" s="672"/>
      <c r="NEU34" s="672"/>
      <c r="NEV34" s="672"/>
      <c r="NEW34" s="672"/>
      <c r="NEX34" s="672"/>
      <c r="NEY34" s="672"/>
      <c r="NEZ34" s="672"/>
      <c r="NFA34" s="672"/>
      <c r="NFB34" s="672"/>
      <c r="NFC34" s="672"/>
      <c r="NFD34" s="672"/>
      <c r="NFE34" s="672"/>
      <c r="NFF34" s="672"/>
      <c r="NFG34" s="672"/>
      <c r="NFH34" s="672"/>
      <c r="NFI34" s="672"/>
      <c r="NFJ34" s="672"/>
      <c r="NFK34" s="672"/>
      <c r="NFL34" s="672"/>
      <c r="NFM34" s="672"/>
      <c r="NFN34" s="672"/>
      <c r="NFO34" s="672"/>
      <c r="NFP34" s="672"/>
      <c r="NFQ34" s="672"/>
      <c r="NFR34" s="672"/>
      <c r="NFS34" s="672"/>
      <c r="NFT34" s="672"/>
      <c r="NFU34" s="672"/>
      <c r="NFV34" s="672"/>
      <c r="NFW34" s="672"/>
      <c r="NFX34" s="672"/>
      <c r="NFY34" s="672"/>
      <c r="NFZ34" s="672"/>
      <c r="NGA34" s="672"/>
      <c r="NGB34" s="672"/>
      <c r="NGC34" s="672"/>
      <c r="NGD34" s="672"/>
      <c r="NGE34" s="672"/>
      <c r="NGF34" s="672"/>
      <c r="NGG34" s="672"/>
      <c r="NGH34" s="672"/>
      <c r="NGI34" s="672"/>
      <c r="NGJ34" s="672"/>
      <c r="NGK34" s="672"/>
      <c r="NGL34" s="672"/>
      <c r="NGM34" s="672"/>
      <c r="NGN34" s="672"/>
      <c r="NGO34" s="672"/>
      <c r="NGP34" s="672"/>
      <c r="NGQ34" s="672"/>
      <c r="NGR34" s="672"/>
      <c r="NGS34" s="672"/>
      <c r="NGT34" s="672"/>
      <c r="NGU34" s="672"/>
      <c r="NGV34" s="672"/>
      <c r="NGW34" s="672"/>
      <c r="NGX34" s="672"/>
      <c r="NGY34" s="672"/>
      <c r="NGZ34" s="672"/>
      <c r="NHA34" s="672"/>
      <c r="NHB34" s="672"/>
      <c r="NHC34" s="672"/>
      <c r="NHD34" s="672"/>
      <c r="NHE34" s="672"/>
      <c r="NHF34" s="672"/>
      <c r="NHG34" s="672"/>
      <c r="NHH34" s="672"/>
      <c r="NHI34" s="672"/>
      <c r="NHJ34" s="672"/>
      <c r="NHK34" s="672"/>
      <c r="NHL34" s="672"/>
      <c r="NHM34" s="672"/>
      <c r="NHN34" s="672"/>
      <c r="NHO34" s="672"/>
      <c r="NHP34" s="672"/>
      <c r="NHQ34" s="672"/>
      <c r="NHR34" s="672"/>
      <c r="NHS34" s="672"/>
      <c r="NHT34" s="672"/>
      <c r="NHU34" s="672"/>
      <c r="NHV34" s="672"/>
      <c r="NHW34" s="672"/>
      <c r="NHX34" s="672"/>
      <c r="NHY34" s="672"/>
      <c r="NHZ34" s="672"/>
      <c r="NIA34" s="672"/>
      <c r="NIB34" s="672"/>
      <c r="NIC34" s="672"/>
      <c r="NID34" s="672"/>
      <c r="NIE34" s="672"/>
      <c r="NIF34" s="672"/>
      <c r="NIG34" s="672"/>
      <c r="NIH34" s="672"/>
      <c r="NII34" s="672"/>
      <c r="NIJ34" s="672"/>
      <c r="NIK34" s="672"/>
      <c r="NIL34" s="672"/>
      <c r="NIM34" s="672"/>
      <c r="NIN34" s="672"/>
      <c r="NIO34" s="672"/>
      <c r="NIP34" s="672"/>
      <c r="NIQ34" s="672"/>
      <c r="NIR34" s="672"/>
      <c r="NIS34" s="672"/>
      <c r="NIT34" s="672"/>
      <c r="NIU34" s="672"/>
      <c r="NIV34" s="672"/>
      <c r="NIW34" s="672"/>
      <c r="NIX34" s="672"/>
      <c r="NIY34" s="672"/>
      <c r="NIZ34" s="672"/>
      <c r="NJA34" s="672"/>
      <c r="NJB34" s="672"/>
      <c r="NJC34" s="672"/>
      <c r="NJD34" s="672"/>
      <c r="NJE34" s="672"/>
      <c r="NJF34" s="672"/>
      <c r="NJG34" s="672"/>
      <c r="NJH34" s="672"/>
      <c r="NJI34" s="672"/>
      <c r="NJJ34" s="672"/>
      <c r="NJK34" s="672"/>
      <c r="NJL34" s="672"/>
      <c r="NJM34" s="672"/>
      <c r="NJN34" s="672"/>
      <c r="NJO34" s="672"/>
      <c r="NJP34" s="672"/>
      <c r="NJQ34" s="672"/>
      <c r="NJR34" s="672"/>
      <c r="NJS34" s="672"/>
      <c r="NJT34" s="672"/>
      <c r="NJU34" s="672"/>
      <c r="NJV34" s="672"/>
      <c r="NJW34" s="672"/>
      <c r="NJX34" s="672"/>
      <c r="NJY34" s="672"/>
      <c r="NJZ34" s="672"/>
      <c r="NKA34" s="672"/>
      <c r="NKB34" s="672"/>
      <c r="NKC34" s="672"/>
      <c r="NKD34" s="672"/>
      <c r="NKE34" s="672"/>
      <c r="NKF34" s="672"/>
      <c r="NKG34" s="672"/>
      <c r="NKH34" s="672"/>
      <c r="NKI34" s="672"/>
      <c r="NKJ34" s="672"/>
      <c r="NKK34" s="672"/>
      <c r="NKL34" s="672"/>
      <c r="NKM34" s="672"/>
      <c r="NKN34" s="672"/>
      <c r="NKO34" s="672"/>
      <c r="NKP34" s="672"/>
      <c r="NKQ34" s="672"/>
      <c r="NKR34" s="672"/>
      <c r="NKS34" s="672"/>
      <c r="NKT34" s="672"/>
      <c r="NKU34" s="672"/>
      <c r="NKV34" s="672"/>
      <c r="NKW34" s="672"/>
      <c r="NKX34" s="672"/>
      <c r="NKY34" s="672"/>
      <c r="NKZ34" s="672"/>
      <c r="NLA34" s="672"/>
      <c r="NLB34" s="672"/>
      <c r="NLC34" s="672"/>
      <c r="NLD34" s="672"/>
      <c r="NLE34" s="672"/>
      <c r="NLF34" s="672"/>
      <c r="NLG34" s="672"/>
      <c r="NLH34" s="672"/>
      <c r="NLI34" s="672"/>
      <c r="NLJ34" s="672"/>
      <c r="NLK34" s="672"/>
      <c r="NLL34" s="672"/>
      <c r="NLM34" s="672"/>
      <c r="NLN34" s="672"/>
      <c r="NLO34" s="672"/>
      <c r="NLP34" s="672"/>
      <c r="NLQ34" s="672"/>
      <c r="NLR34" s="672"/>
      <c r="NLS34" s="672"/>
      <c r="NLT34" s="672"/>
      <c r="NLU34" s="672"/>
      <c r="NLV34" s="672"/>
      <c r="NLW34" s="672"/>
      <c r="NLX34" s="672"/>
      <c r="NLY34" s="672"/>
      <c r="NLZ34" s="672"/>
      <c r="NMA34" s="672"/>
      <c r="NMB34" s="672"/>
      <c r="NMC34" s="672"/>
      <c r="NMD34" s="672"/>
      <c r="NME34" s="672"/>
      <c r="NMF34" s="672"/>
      <c r="NMG34" s="672"/>
      <c r="NMH34" s="672"/>
      <c r="NMI34" s="672"/>
      <c r="NMJ34" s="672"/>
      <c r="NMK34" s="672"/>
      <c r="NML34" s="672"/>
      <c r="NMM34" s="672"/>
      <c r="NMN34" s="672"/>
      <c r="NMO34" s="672"/>
      <c r="NMP34" s="672"/>
      <c r="NMQ34" s="672"/>
      <c r="NMR34" s="672"/>
      <c r="NMS34" s="672"/>
      <c r="NMT34" s="672"/>
      <c r="NMU34" s="672"/>
      <c r="NMV34" s="672"/>
      <c r="NMW34" s="672"/>
      <c r="NMX34" s="672"/>
      <c r="NMY34" s="672"/>
      <c r="NMZ34" s="672"/>
      <c r="NNA34" s="672"/>
      <c r="NNB34" s="672"/>
      <c r="NNC34" s="672"/>
      <c r="NND34" s="672"/>
      <c r="NNE34" s="672"/>
      <c r="NNF34" s="672"/>
      <c r="NNG34" s="672"/>
      <c r="NNH34" s="672"/>
      <c r="NNI34" s="672"/>
      <c r="NNJ34" s="672"/>
      <c r="NNK34" s="672"/>
      <c r="NNL34" s="672"/>
      <c r="NNM34" s="672"/>
      <c r="NNN34" s="672"/>
      <c r="NNO34" s="672"/>
      <c r="NNP34" s="672"/>
      <c r="NNQ34" s="672"/>
      <c r="NNR34" s="672"/>
      <c r="NNS34" s="672"/>
      <c r="NNT34" s="672"/>
      <c r="NNU34" s="672"/>
      <c r="NNV34" s="672"/>
      <c r="NNW34" s="672"/>
      <c r="NNX34" s="672"/>
      <c r="NNY34" s="672"/>
      <c r="NNZ34" s="672"/>
      <c r="NOA34" s="672"/>
      <c r="NOB34" s="672"/>
      <c r="NOC34" s="672"/>
      <c r="NOD34" s="672"/>
      <c r="NOE34" s="672"/>
      <c r="NOF34" s="672"/>
      <c r="NOG34" s="672"/>
      <c r="NOH34" s="672"/>
      <c r="NOI34" s="672"/>
      <c r="NOJ34" s="672"/>
      <c r="NOK34" s="672"/>
      <c r="NOL34" s="672"/>
      <c r="NOM34" s="672"/>
      <c r="NON34" s="672"/>
      <c r="NOO34" s="672"/>
      <c r="NOP34" s="672"/>
      <c r="NOQ34" s="672"/>
      <c r="NOR34" s="672"/>
      <c r="NOS34" s="672"/>
      <c r="NOT34" s="672"/>
      <c r="NOU34" s="672"/>
      <c r="NOV34" s="672"/>
      <c r="NOW34" s="672"/>
      <c r="NOX34" s="672"/>
      <c r="NOY34" s="672"/>
      <c r="NOZ34" s="672"/>
      <c r="NPA34" s="672"/>
      <c r="NPB34" s="672"/>
      <c r="NPC34" s="672"/>
      <c r="NPD34" s="672"/>
      <c r="NPE34" s="672"/>
      <c r="NPF34" s="672"/>
      <c r="NPG34" s="672"/>
      <c r="NPH34" s="672"/>
      <c r="NPI34" s="672"/>
      <c r="NPJ34" s="672"/>
      <c r="NPK34" s="672"/>
      <c r="NPL34" s="672"/>
      <c r="NPM34" s="672"/>
      <c r="NPN34" s="672"/>
      <c r="NPO34" s="672"/>
      <c r="NPP34" s="672"/>
      <c r="NPQ34" s="672"/>
      <c r="NPR34" s="672"/>
      <c r="NPS34" s="672"/>
      <c r="NPT34" s="672"/>
      <c r="NPU34" s="672"/>
      <c r="NPV34" s="672"/>
      <c r="NPW34" s="672"/>
      <c r="NPX34" s="672"/>
      <c r="NPY34" s="672"/>
      <c r="NPZ34" s="672"/>
      <c r="NQA34" s="672"/>
      <c r="NQB34" s="672"/>
      <c r="NQC34" s="672"/>
      <c r="NQD34" s="672"/>
      <c r="NQE34" s="672"/>
      <c r="NQF34" s="672"/>
      <c r="NQG34" s="672"/>
      <c r="NQH34" s="672"/>
      <c r="NQI34" s="672"/>
      <c r="NQJ34" s="672"/>
      <c r="NQK34" s="672"/>
      <c r="NQL34" s="672"/>
      <c r="NQM34" s="672"/>
      <c r="NQN34" s="672"/>
      <c r="NQO34" s="672"/>
      <c r="NQP34" s="672"/>
      <c r="NQQ34" s="672"/>
      <c r="NQR34" s="672"/>
      <c r="NQS34" s="672"/>
      <c r="NQT34" s="672"/>
      <c r="NQU34" s="672"/>
      <c r="NQV34" s="672"/>
      <c r="NQW34" s="672"/>
      <c r="NQX34" s="672"/>
      <c r="NQY34" s="672"/>
      <c r="NQZ34" s="672"/>
      <c r="NRA34" s="672"/>
      <c r="NRB34" s="672"/>
      <c r="NRC34" s="672"/>
      <c r="NRD34" s="672"/>
      <c r="NRE34" s="672"/>
      <c r="NRF34" s="672"/>
      <c r="NRG34" s="672"/>
      <c r="NRH34" s="672"/>
      <c r="NRI34" s="672"/>
      <c r="NRJ34" s="672"/>
      <c r="NRK34" s="672"/>
      <c r="NRL34" s="672"/>
      <c r="NRM34" s="672"/>
      <c r="NRN34" s="672"/>
      <c r="NRO34" s="672"/>
      <c r="NRP34" s="672"/>
      <c r="NRQ34" s="672"/>
      <c r="NRR34" s="672"/>
      <c r="NRS34" s="672"/>
      <c r="NRT34" s="672"/>
      <c r="NRU34" s="672"/>
      <c r="NRV34" s="672"/>
      <c r="NRW34" s="672"/>
      <c r="NRX34" s="672"/>
      <c r="NRY34" s="672"/>
      <c r="NRZ34" s="672"/>
      <c r="NSA34" s="672"/>
      <c r="NSB34" s="672"/>
      <c r="NSC34" s="672"/>
      <c r="NSD34" s="672"/>
      <c r="NSE34" s="672"/>
      <c r="NSF34" s="672"/>
      <c r="NSG34" s="672"/>
      <c r="NSH34" s="672"/>
      <c r="NSI34" s="672"/>
      <c r="NSJ34" s="672"/>
      <c r="NSK34" s="672"/>
      <c r="NSL34" s="672"/>
      <c r="NSM34" s="672"/>
      <c r="NSN34" s="672"/>
      <c r="NSO34" s="672"/>
      <c r="NSP34" s="672"/>
      <c r="NSQ34" s="672"/>
      <c r="NSR34" s="672"/>
      <c r="NSS34" s="672"/>
      <c r="NST34" s="672"/>
      <c r="NSU34" s="672"/>
      <c r="NSV34" s="672"/>
      <c r="NSW34" s="672"/>
      <c r="NSX34" s="672"/>
      <c r="NSY34" s="672"/>
      <c r="NSZ34" s="672"/>
      <c r="NTA34" s="672"/>
      <c r="NTB34" s="672"/>
      <c r="NTC34" s="672"/>
      <c r="NTD34" s="672"/>
      <c r="NTE34" s="672"/>
      <c r="NTF34" s="672"/>
      <c r="NTG34" s="672"/>
      <c r="NTH34" s="672"/>
      <c r="NTI34" s="672"/>
      <c r="NTJ34" s="672"/>
      <c r="NTK34" s="672"/>
      <c r="NTL34" s="672"/>
      <c r="NTM34" s="672"/>
      <c r="NTN34" s="672"/>
      <c r="NTO34" s="672"/>
      <c r="NTP34" s="672"/>
      <c r="NTQ34" s="672"/>
      <c r="NTR34" s="672"/>
      <c r="NTS34" s="672"/>
      <c r="NTT34" s="672"/>
      <c r="NTU34" s="672"/>
      <c r="NTV34" s="672"/>
      <c r="NTW34" s="672"/>
      <c r="NTX34" s="672"/>
      <c r="NTY34" s="672"/>
      <c r="NTZ34" s="672"/>
      <c r="NUA34" s="672"/>
      <c r="NUB34" s="672"/>
      <c r="NUC34" s="672"/>
      <c r="NUD34" s="672"/>
      <c r="NUE34" s="672"/>
      <c r="NUF34" s="672"/>
      <c r="NUG34" s="672"/>
      <c r="NUH34" s="672"/>
      <c r="NUI34" s="672"/>
      <c r="NUJ34" s="672"/>
      <c r="NUK34" s="672"/>
      <c r="NUL34" s="672"/>
      <c r="NUM34" s="672"/>
      <c r="NUN34" s="672"/>
      <c r="NUO34" s="672"/>
      <c r="NUP34" s="672"/>
      <c r="NUQ34" s="672"/>
      <c r="NUR34" s="672"/>
      <c r="NUS34" s="672"/>
      <c r="NUT34" s="672"/>
      <c r="NUU34" s="672"/>
      <c r="NUV34" s="672"/>
      <c r="NUW34" s="672"/>
      <c r="NUX34" s="672"/>
      <c r="NUY34" s="672"/>
      <c r="NUZ34" s="672"/>
      <c r="NVA34" s="672"/>
      <c r="NVB34" s="672"/>
      <c r="NVC34" s="672"/>
      <c r="NVD34" s="672"/>
      <c r="NVE34" s="672"/>
      <c r="NVF34" s="672"/>
      <c r="NVG34" s="672"/>
      <c r="NVH34" s="672"/>
      <c r="NVI34" s="672"/>
      <c r="NVJ34" s="672"/>
      <c r="NVK34" s="672"/>
      <c r="NVL34" s="672"/>
      <c r="NVM34" s="672"/>
      <c r="NVN34" s="672"/>
      <c r="NVO34" s="672"/>
      <c r="NVP34" s="672"/>
      <c r="NVQ34" s="672"/>
      <c r="NVR34" s="672"/>
      <c r="NVS34" s="672"/>
      <c r="NVT34" s="672"/>
      <c r="NVU34" s="672"/>
      <c r="NVV34" s="672"/>
      <c r="NVW34" s="672"/>
      <c r="NVX34" s="672"/>
      <c r="NVY34" s="672"/>
      <c r="NVZ34" s="672"/>
      <c r="NWA34" s="672"/>
      <c r="NWB34" s="672"/>
      <c r="NWC34" s="672"/>
      <c r="NWD34" s="672"/>
      <c r="NWE34" s="672"/>
      <c r="NWF34" s="672"/>
      <c r="NWG34" s="672"/>
      <c r="NWH34" s="672"/>
      <c r="NWI34" s="672"/>
      <c r="NWJ34" s="672"/>
      <c r="NWK34" s="672"/>
      <c r="NWL34" s="672"/>
      <c r="NWM34" s="672"/>
      <c r="NWN34" s="672"/>
      <c r="NWO34" s="672"/>
      <c r="NWP34" s="672"/>
      <c r="NWQ34" s="672"/>
      <c r="NWR34" s="672"/>
      <c r="NWS34" s="672"/>
      <c r="NWT34" s="672"/>
      <c r="NWU34" s="672"/>
      <c r="NWV34" s="672"/>
      <c r="NWW34" s="672"/>
      <c r="NWX34" s="672"/>
      <c r="NWY34" s="672"/>
      <c r="NWZ34" s="672"/>
      <c r="NXA34" s="672"/>
      <c r="NXB34" s="672"/>
      <c r="NXC34" s="672"/>
      <c r="NXD34" s="672"/>
      <c r="NXE34" s="672"/>
      <c r="NXF34" s="672"/>
      <c r="NXG34" s="672"/>
      <c r="NXH34" s="672"/>
      <c r="NXI34" s="672"/>
      <c r="NXJ34" s="672"/>
      <c r="NXK34" s="672"/>
      <c r="NXL34" s="672"/>
      <c r="NXM34" s="672"/>
      <c r="NXN34" s="672"/>
      <c r="NXO34" s="672"/>
      <c r="NXP34" s="672"/>
      <c r="NXQ34" s="672"/>
      <c r="NXR34" s="672"/>
      <c r="NXS34" s="672"/>
      <c r="NXT34" s="672"/>
      <c r="NXU34" s="672"/>
      <c r="NXV34" s="672"/>
      <c r="NXW34" s="672"/>
      <c r="NXX34" s="672"/>
      <c r="NXY34" s="672"/>
      <c r="NXZ34" s="672"/>
      <c r="NYA34" s="672"/>
      <c r="NYB34" s="672"/>
      <c r="NYC34" s="672"/>
      <c r="NYD34" s="672"/>
      <c r="NYE34" s="672"/>
      <c r="NYF34" s="672"/>
      <c r="NYG34" s="672"/>
      <c r="NYH34" s="672"/>
      <c r="NYI34" s="672"/>
      <c r="NYJ34" s="672"/>
      <c r="NYK34" s="672"/>
      <c r="NYL34" s="672"/>
      <c r="NYM34" s="672"/>
      <c r="NYN34" s="672"/>
      <c r="NYO34" s="672"/>
      <c r="NYP34" s="672"/>
      <c r="NYQ34" s="672"/>
      <c r="NYR34" s="672"/>
      <c r="NYS34" s="672"/>
      <c r="NYT34" s="672"/>
      <c r="NYU34" s="672"/>
      <c r="NYV34" s="672"/>
      <c r="NYW34" s="672"/>
      <c r="NYX34" s="672"/>
      <c r="NYY34" s="672"/>
      <c r="NYZ34" s="672"/>
      <c r="NZA34" s="672"/>
      <c r="NZB34" s="672"/>
      <c r="NZC34" s="672"/>
      <c r="NZD34" s="672"/>
      <c r="NZE34" s="672"/>
      <c r="NZF34" s="672"/>
      <c r="NZG34" s="672"/>
      <c r="NZH34" s="672"/>
      <c r="NZI34" s="672"/>
      <c r="NZJ34" s="672"/>
      <c r="NZK34" s="672"/>
      <c r="NZL34" s="672"/>
      <c r="NZM34" s="672"/>
      <c r="NZN34" s="672"/>
      <c r="NZO34" s="672"/>
      <c r="NZP34" s="672"/>
      <c r="NZQ34" s="672"/>
      <c r="NZR34" s="672"/>
      <c r="NZS34" s="672"/>
      <c r="NZT34" s="672"/>
      <c r="NZU34" s="672"/>
      <c r="NZV34" s="672"/>
      <c r="NZW34" s="672"/>
      <c r="NZX34" s="672"/>
      <c r="NZY34" s="672"/>
      <c r="NZZ34" s="672"/>
      <c r="OAA34" s="672"/>
      <c r="OAB34" s="672"/>
      <c r="OAC34" s="672"/>
      <c r="OAD34" s="672"/>
      <c r="OAE34" s="672"/>
      <c r="OAF34" s="672"/>
      <c r="OAG34" s="672"/>
      <c r="OAH34" s="672"/>
      <c r="OAI34" s="672"/>
      <c r="OAJ34" s="672"/>
      <c r="OAK34" s="672"/>
      <c r="OAL34" s="672"/>
      <c r="OAM34" s="672"/>
      <c r="OAN34" s="672"/>
      <c r="OAO34" s="672"/>
      <c r="OAP34" s="672"/>
      <c r="OAQ34" s="672"/>
      <c r="OAR34" s="672"/>
      <c r="OAS34" s="672"/>
      <c r="OAT34" s="672"/>
      <c r="OAU34" s="672"/>
      <c r="OAV34" s="672"/>
      <c r="OAW34" s="672"/>
      <c r="OAX34" s="672"/>
      <c r="OAY34" s="672"/>
      <c r="OAZ34" s="672"/>
      <c r="OBA34" s="672"/>
      <c r="OBB34" s="672"/>
      <c r="OBC34" s="672"/>
      <c r="OBD34" s="672"/>
      <c r="OBE34" s="672"/>
      <c r="OBF34" s="672"/>
      <c r="OBG34" s="672"/>
      <c r="OBH34" s="672"/>
      <c r="OBI34" s="672"/>
      <c r="OBJ34" s="672"/>
      <c r="OBK34" s="672"/>
      <c r="OBL34" s="672"/>
      <c r="OBM34" s="672"/>
      <c r="OBN34" s="672"/>
      <c r="OBO34" s="672"/>
      <c r="OBP34" s="672"/>
      <c r="OBQ34" s="672"/>
      <c r="OBR34" s="672"/>
      <c r="OBS34" s="672"/>
      <c r="OBT34" s="672"/>
      <c r="OBU34" s="672"/>
      <c r="OBV34" s="672"/>
      <c r="OBW34" s="672"/>
      <c r="OBX34" s="672"/>
      <c r="OBY34" s="672"/>
      <c r="OBZ34" s="672"/>
      <c r="OCA34" s="672"/>
      <c r="OCB34" s="672"/>
      <c r="OCC34" s="672"/>
      <c r="OCD34" s="672"/>
      <c r="OCE34" s="672"/>
      <c r="OCF34" s="672"/>
      <c r="OCG34" s="672"/>
      <c r="OCH34" s="672"/>
      <c r="OCI34" s="672"/>
      <c r="OCJ34" s="672"/>
      <c r="OCK34" s="672"/>
      <c r="OCL34" s="672"/>
      <c r="OCM34" s="672"/>
      <c r="OCN34" s="672"/>
      <c r="OCO34" s="672"/>
      <c r="OCP34" s="672"/>
      <c r="OCQ34" s="672"/>
      <c r="OCR34" s="672"/>
      <c r="OCS34" s="672"/>
      <c r="OCT34" s="672"/>
      <c r="OCU34" s="672"/>
      <c r="OCV34" s="672"/>
      <c r="OCW34" s="672"/>
      <c r="OCX34" s="672"/>
      <c r="OCY34" s="672"/>
      <c r="OCZ34" s="672"/>
      <c r="ODA34" s="672"/>
      <c r="ODB34" s="672"/>
      <c r="ODC34" s="672"/>
      <c r="ODD34" s="672"/>
      <c r="ODE34" s="672"/>
      <c r="ODF34" s="672"/>
      <c r="ODG34" s="672"/>
      <c r="ODH34" s="672"/>
      <c r="ODI34" s="672"/>
      <c r="ODJ34" s="672"/>
      <c r="ODK34" s="672"/>
      <c r="ODL34" s="672"/>
      <c r="ODM34" s="672"/>
      <c r="ODN34" s="672"/>
      <c r="ODO34" s="672"/>
      <c r="ODP34" s="672"/>
      <c r="ODQ34" s="672"/>
      <c r="ODR34" s="672"/>
      <c r="ODS34" s="672"/>
      <c r="ODT34" s="672"/>
      <c r="ODU34" s="672"/>
      <c r="ODV34" s="672"/>
      <c r="ODW34" s="672"/>
      <c r="ODX34" s="672"/>
      <c r="ODY34" s="672"/>
      <c r="ODZ34" s="672"/>
      <c r="OEA34" s="672"/>
      <c r="OEB34" s="672"/>
      <c r="OEC34" s="672"/>
      <c r="OED34" s="672"/>
      <c r="OEE34" s="672"/>
      <c r="OEF34" s="672"/>
      <c r="OEG34" s="672"/>
      <c r="OEH34" s="672"/>
      <c r="OEI34" s="672"/>
      <c r="OEJ34" s="672"/>
      <c r="OEK34" s="672"/>
      <c r="OEL34" s="672"/>
      <c r="OEM34" s="672"/>
      <c r="OEN34" s="672"/>
      <c r="OEO34" s="672"/>
      <c r="OEP34" s="672"/>
      <c r="OEQ34" s="672"/>
      <c r="OER34" s="672"/>
      <c r="OES34" s="672"/>
      <c r="OET34" s="672"/>
      <c r="OEU34" s="672"/>
      <c r="OEV34" s="672"/>
      <c r="OEW34" s="672"/>
      <c r="OEX34" s="672"/>
      <c r="OEY34" s="672"/>
      <c r="OEZ34" s="672"/>
      <c r="OFA34" s="672"/>
      <c r="OFB34" s="672"/>
      <c r="OFC34" s="672"/>
      <c r="OFD34" s="672"/>
      <c r="OFE34" s="672"/>
      <c r="OFF34" s="672"/>
      <c r="OFG34" s="672"/>
      <c r="OFH34" s="672"/>
      <c r="OFI34" s="672"/>
      <c r="OFJ34" s="672"/>
      <c r="OFK34" s="672"/>
      <c r="OFL34" s="672"/>
      <c r="OFM34" s="672"/>
      <c r="OFN34" s="672"/>
      <c r="OFO34" s="672"/>
      <c r="OFP34" s="672"/>
      <c r="OFQ34" s="672"/>
      <c r="OFR34" s="672"/>
      <c r="OFS34" s="672"/>
      <c r="OFT34" s="672"/>
      <c r="OFU34" s="672"/>
      <c r="OFV34" s="672"/>
      <c r="OFW34" s="672"/>
      <c r="OFX34" s="672"/>
      <c r="OFY34" s="672"/>
      <c r="OFZ34" s="672"/>
      <c r="OGA34" s="672"/>
      <c r="OGB34" s="672"/>
      <c r="OGC34" s="672"/>
      <c r="OGD34" s="672"/>
      <c r="OGE34" s="672"/>
      <c r="OGF34" s="672"/>
      <c r="OGG34" s="672"/>
      <c r="OGH34" s="672"/>
      <c r="OGI34" s="672"/>
      <c r="OGJ34" s="672"/>
      <c r="OGK34" s="672"/>
      <c r="OGL34" s="672"/>
      <c r="OGM34" s="672"/>
      <c r="OGN34" s="672"/>
      <c r="OGO34" s="672"/>
      <c r="OGP34" s="672"/>
      <c r="OGQ34" s="672"/>
      <c r="OGR34" s="672"/>
      <c r="OGS34" s="672"/>
      <c r="OGT34" s="672"/>
      <c r="OGU34" s="672"/>
      <c r="OGV34" s="672"/>
      <c r="OGW34" s="672"/>
      <c r="OGX34" s="672"/>
      <c r="OGY34" s="672"/>
      <c r="OGZ34" s="672"/>
      <c r="OHA34" s="672"/>
      <c r="OHB34" s="672"/>
      <c r="OHC34" s="672"/>
      <c r="OHD34" s="672"/>
      <c r="OHE34" s="672"/>
      <c r="OHF34" s="672"/>
      <c r="OHG34" s="672"/>
      <c r="OHH34" s="672"/>
      <c r="OHI34" s="672"/>
      <c r="OHJ34" s="672"/>
      <c r="OHK34" s="672"/>
      <c r="OHL34" s="672"/>
      <c r="OHM34" s="672"/>
      <c r="OHN34" s="672"/>
      <c r="OHO34" s="672"/>
      <c r="OHP34" s="672"/>
      <c r="OHQ34" s="672"/>
      <c r="OHR34" s="672"/>
      <c r="OHS34" s="672"/>
      <c r="OHT34" s="672"/>
      <c r="OHU34" s="672"/>
      <c r="OHV34" s="672"/>
      <c r="OHW34" s="672"/>
      <c r="OHX34" s="672"/>
      <c r="OHY34" s="672"/>
      <c r="OHZ34" s="672"/>
      <c r="OIA34" s="672"/>
      <c r="OIB34" s="672"/>
      <c r="OIC34" s="672"/>
      <c r="OID34" s="672"/>
      <c r="OIE34" s="672"/>
      <c r="OIF34" s="672"/>
      <c r="OIG34" s="672"/>
      <c r="OIH34" s="672"/>
      <c r="OII34" s="672"/>
      <c r="OIJ34" s="672"/>
      <c r="OIK34" s="672"/>
      <c r="OIL34" s="672"/>
      <c r="OIM34" s="672"/>
      <c r="OIN34" s="672"/>
      <c r="OIO34" s="672"/>
      <c r="OIP34" s="672"/>
      <c r="OIQ34" s="672"/>
      <c r="OIR34" s="672"/>
      <c r="OIS34" s="672"/>
      <c r="OIT34" s="672"/>
      <c r="OIU34" s="672"/>
      <c r="OIV34" s="672"/>
      <c r="OIW34" s="672"/>
      <c r="OIX34" s="672"/>
      <c r="OIY34" s="672"/>
      <c r="OIZ34" s="672"/>
      <c r="OJA34" s="672"/>
      <c r="OJB34" s="672"/>
      <c r="OJC34" s="672"/>
      <c r="OJD34" s="672"/>
      <c r="OJE34" s="672"/>
      <c r="OJF34" s="672"/>
      <c r="OJG34" s="672"/>
      <c r="OJH34" s="672"/>
      <c r="OJI34" s="672"/>
      <c r="OJJ34" s="672"/>
      <c r="OJK34" s="672"/>
      <c r="OJL34" s="672"/>
      <c r="OJM34" s="672"/>
      <c r="OJN34" s="672"/>
      <c r="OJO34" s="672"/>
      <c r="OJP34" s="672"/>
      <c r="OJQ34" s="672"/>
      <c r="OJR34" s="672"/>
      <c r="OJS34" s="672"/>
      <c r="OJT34" s="672"/>
      <c r="OJU34" s="672"/>
      <c r="OJV34" s="672"/>
      <c r="OJW34" s="672"/>
      <c r="OJX34" s="672"/>
      <c r="OJY34" s="672"/>
      <c r="OJZ34" s="672"/>
      <c r="OKA34" s="672"/>
      <c r="OKB34" s="672"/>
      <c r="OKC34" s="672"/>
      <c r="OKD34" s="672"/>
      <c r="OKE34" s="672"/>
      <c r="OKF34" s="672"/>
      <c r="OKG34" s="672"/>
      <c r="OKH34" s="672"/>
      <c r="OKI34" s="672"/>
      <c r="OKJ34" s="672"/>
      <c r="OKK34" s="672"/>
      <c r="OKL34" s="672"/>
      <c r="OKM34" s="672"/>
      <c r="OKN34" s="672"/>
      <c r="OKO34" s="672"/>
      <c r="OKP34" s="672"/>
      <c r="OKQ34" s="672"/>
      <c r="OKR34" s="672"/>
      <c r="OKS34" s="672"/>
      <c r="OKT34" s="672"/>
      <c r="OKU34" s="672"/>
      <c r="OKV34" s="672"/>
      <c r="OKW34" s="672"/>
      <c r="OKX34" s="672"/>
      <c r="OKY34" s="672"/>
      <c r="OKZ34" s="672"/>
      <c r="OLA34" s="672"/>
      <c r="OLB34" s="672"/>
      <c r="OLC34" s="672"/>
      <c r="OLD34" s="672"/>
      <c r="OLE34" s="672"/>
      <c r="OLF34" s="672"/>
      <c r="OLG34" s="672"/>
      <c r="OLH34" s="672"/>
      <c r="OLI34" s="672"/>
      <c r="OLJ34" s="672"/>
      <c r="OLK34" s="672"/>
      <c r="OLL34" s="672"/>
      <c r="OLM34" s="672"/>
      <c r="OLN34" s="672"/>
      <c r="OLO34" s="672"/>
      <c r="OLP34" s="672"/>
      <c r="OLQ34" s="672"/>
      <c r="OLR34" s="672"/>
      <c r="OLS34" s="672"/>
      <c r="OLT34" s="672"/>
      <c r="OLU34" s="672"/>
      <c r="OLV34" s="672"/>
      <c r="OLW34" s="672"/>
      <c r="OLX34" s="672"/>
      <c r="OLY34" s="672"/>
      <c r="OLZ34" s="672"/>
      <c r="OMA34" s="672"/>
      <c r="OMB34" s="672"/>
      <c r="OMC34" s="672"/>
      <c r="OMD34" s="672"/>
      <c r="OME34" s="672"/>
      <c r="OMF34" s="672"/>
      <c r="OMG34" s="672"/>
      <c r="OMH34" s="672"/>
      <c r="OMI34" s="672"/>
      <c r="OMJ34" s="672"/>
      <c r="OMK34" s="672"/>
      <c r="OML34" s="672"/>
      <c r="OMM34" s="672"/>
      <c r="OMN34" s="672"/>
      <c r="OMO34" s="672"/>
      <c r="OMP34" s="672"/>
      <c r="OMQ34" s="672"/>
      <c r="OMR34" s="672"/>
      <c r="OMS34" s="672"/>
      <c r="OMT34" s="672"/>
      <c r="OMU34" s="672"/>
      <c r="OMV34" s="672"/>
      <c r="OMW34" s="672"/>
      <c r="OMX34" s="672"/>
      <c r="OMY34" s="672"/>
      <c r="OMZ34" s="672"/>
      <c r="ONA34" s="672"/>
      <c r="ONB34" s="672"/>
      <c r="ONC34" s="672"/>
      <c r="OND34" s="672"/>
      <c r="ONE34" s="672"/>
      <c r="ONF34" s="672"/>
      <c r="ONG34" s="672"/>
      <c r="ONH34" s="672"/>
      <c r="ONI34" s="672"/>
      <c r="ONJ34" s="672"/>
      <c r="ONK34" s="672"/>
      <c r="ONL34" s="672"/>
      <c r="ONM34" s="672"/>
      <c r="ONN34" s="672"/>
      <c r="ONO34" s="672"/>
      <c r="ONP34" s="672"/>
      <c r="ONQ34" s="672"/>
      <c r="ONR34" s="672"/>
      <c r="ONS34" s="672"/>
      <c r="ONT34" s="672"/>
      <c r="ONU34" s="672"/>
      <c r="ONV34" s="672"/>
      <c r="ONW34" s="672"/>
      <c r="ONX34" s="672"/>
      <c r="ONY34" s="672"/>
      <c r="ONZ34" s="672"/>
      <c r="OOA34" s="672"/>
      <c r="OOB34" s="672"/>
      <c r="OOC34" s="672"/>
      <c r="OOD34" s="672"/>
      <c r="OOE34" s="672"/>
      <c r="OOF34" s="672"/>
      <c r="OOG34" s="672"/>
      <c r="OOH34" s="672"/>
      <c r="OOI34" s="672"/>
      <c r="OOJ34" s="672"/>
      <c r="OOK34" s="672"/>
      <c r="OOL34" s="672"/>
      <c r="OOM34" s="672"/>
      <c r="OON34" s="672"/>
      <c r="OOO34" s="672"/>
      <c r="OOP34" s="672"/>
      <c r="OOQ34" s="672"/>
      <c r="OOR34" s="672"/>
      <c r="OOS34" s="672"/>
      <c r="OOT34" s="672"/>
      <c r="OOU34" s="672"/>
      <c r="OOV34" s="672"/>
      <c r="OOW34" s="672"/>
      <c r="OOX34" s="672"/>
      <c r="OOY34" s="672"/>
      <c r="OOZ34" s="672"/>
      <c r="OPA34" s="672"/>
      <c r="OPB34" s="672"/>
      <c r="OPC34" s="672"/>
      <c r="OPD34" s="672"/>
      <c r="OPE34" s="672"/>
      <c r="OPF34" s="672"/>
      <c r="OPG34" s="672"/>
      <c r="OPH34" s="672"/>
      <c r="OPI34" s="672"/>
      <c r="OPJ34" s="672"/>
      <c r="OPK34" s="672"/>
      <c r="OPL34" s="672"/>
      <c r="OPM34" s="672"/>
      <c r="OPN34" s="672"/>
      <c r="OPO34" s="672"/>
      <c r="OPP34" s="672"/>
      <c r="OPQ34" s="672"/>
      <c r="OPR34" s="672"/>
      <c r="OPS34" s="672"/>
      <c r="OPT34" s="672"/>
      <c r="OPU34" s="672"/>
      <c r="OPV34" s="672"/>
      <c r="OPW34" s="672"/>
      <c r="OPX34" s="672"/>
      <c r="OPY34" s="672"/>
      <c r="OPZ34" s="672"/>
      <c r="OQA34" s="672"/>
      <c r="OQB34" s="672"/>
      <c r="OQC34" s="672"/>
      <c r="OQD34" s="672"/>
      <c r="OQE34" s="672"/>
      <c r="OQF34" s="672"/>
      <c r="OQG34" s="672"/>
      <c r="OQH34" s="672"/>
      <c r="OQI34" s="672"/>
      <c r="OQJ34" s="672"/>
      <c r="OQK34" s="672"/>
      <c r="OQL34" s="672"/>
      <c r="OQM34" s="672"/>
      <c r="OQN34" s="672"/>
      <c r="OQO34" s="672"/>
      <c r="OQP34" s="672"/>
      <c r="OQQ34" s="672"/>
      <c r="OQR34" s="672"/>
      <c r="OQS34" s="672"/>
      <c r="OQT34" s="672"/>
      <c r="OQU34" s="672"/>
      <c r="OQV34" s="672"/>
      <c r="OQW34" s="672"/>
      <c r="OQX34" s="672"/>
      <c r="OQY34" s="672"/>
      <c r="OQZ34" s="672"/>
      <c r="ORA34" s="672"/>
      <c r="ORB34" s="672"/>
      <c r="ORC34" s="672"/>
      <c r="ORD34" s="672"/>
      <c r="ORE34" s="672"/>
      <c r="ORF34" s="672"/>
      <c r="ORG34" s="672"/>
      <c r="ORH34" s="672"/>
      <c r="ORI34" s="672"/>
      <c r="ORJ34" s="672"/>
      <c r="ORK34" s="672"/>
      <c r="ORL34" s="672"/>
      <c r="ORM34" s="672"/>
      <c r="ORN34" s="672"/>
      <c r="ORO34" s="672"/>
      <c r="ORP34" s="672"/>
      <c r="ORQ34" s="672"/>
      <c r="ORR34" s="672"/>
      <c r="ORS34" s="672"/>
      <c r="ORT34" s="672"/>
      <c r="ORU34" s="672"/>
      <c r="ORV34" s="672"/>
      <c r="ORW34" s="672"/>
      <c r="ORX34" s="672"/>
      <c r="ORY34" s="672"/>
      <c r="ORZ34" s="672"/>
      <c r="OSA34" s="672"/>
      <c r="OSB34" s="672"/>
      <c r="OSC34" s="672"/>
      <c r="OSD34" s="672"/>
      <c r="OSE34" s="672"/>
      <c r="OSF34" s="672"/>
      <c r="OSG34" s="672"/>
      <c r="OSH34" s="672"/>
      <c r="OSI34" s="672"/>
      <c r="OSJ34" s="672"/>
      <c r="OSK34" s="672"/>
      <c r="OSL34" s="672"/>
      <c r="OSM34" s="672"/>
      <c r="OSN34" s="672"/>
      <c r="OSO34" s="672"/>
      <c r="OSP34" s="672"/>
      <c r="OSQ34" s="672"/>
      <c r="OSR34" s="672"/>
      <c r="OSS34" s="672"/>
      <c r="OST34" s="672"/>
      <c r="OSU34" s="672"/>
      <c r="OSV34" s="672"/>
      <c r="OSW34" s="672"/>
      <c r="OSX34" s="672"/>
      <c r="OSY34" s="672"/>
      <c r="OSZ34" s="672"/>
      <c r="OTA34" s="672"/>
      <c r="OTB34" s="672"/>
      <c r="OTC34" s="672"/>
      <c r="OTD34" s="672"/>
      <c r="OTE34" s="672"/>
      <c r="OTF34" s="672"/>
      <c r="OTG34" s="672"/>
      <c r="OTH34" s="672"/>
      <c r="OTI34" s="672"/>
      <c r="OTJ34" s="672"/>
      <c r="OTK34" s="672"/>
      <c r="OTL34" s="672"/>
      <c r="OTM34" s="672"/>
      <c r="OTN34" s="672"/>
      <c r="OTO34" s="672"/>
      <c r="OTP34" s="672"/>
      <c r="OTQ34" s="672"/>
      <c r="OTR34" s="672"/>
      <c r="OTS34" s="672"/>
      <c r="OTT34" s="672"/>
      <c r="OTU34" s="672"/>
      <c r="OTV34" s="672"/>
      <c r="OTW34" s="672"/>
      <c r="OTX34" s="672"/>
      <c r="OTY34" s="672"/>
      <c r="OTZ34" s="672"/>
      <c r="OUA34" s="672"/>
      <c r="OUB34" s="672"/>
      <c r="OUC34" s="672"/>
      <c r="OUD34" s="672"/>
      <c r="OUE34" s="672"/>
      <c r="OUF34" s="672"/>
      <c r="OUG34" s="672"/>
      <c r="OUH34" s="672"/>
      <c r="OUI34" s="672"/>
      <c r="OUJ34" s="672"/>
      <c r="OUK34" s="672"/>
      <c r="OUL34" s="672"/>
      <c r="OUM34" s="672"/>
      <c r="OUN34" s="672"/>
      <c r="OUO34" s="672"/>
      <c r="OUP34" s="672"/>
      <c r="OUQ34" s="672"/>
      <c r="OUR34" s="672"/>
      <c r="OUS34" s="672"/>
      <c r="OUT34" s="672"/>
      <c r="OUU34" s="672"/>
      <c r="OUV34" s="672"/>
      <c r="OUW34" s="672"/>
      <c r="OUX34" s="672"/>
      <c r="OUY34" s="672"/>
      <c r="OUZ34" s="672"/>
      <c r="OVA34" s="672"/>
      <c r="OVB34" s="672"/>
      <c r="OVC34" s="672"/>
      <c r="OVD34" s="672"/>
      <c r="OVE34" s="672"/>
      <c r="OVF34" s="672"/>
      <c r="OVG34" s="672"/>
      <c r="OVH34" s="672"/>
      <c r="OVI34" s="672"/>
      <c r="OVJ34" s="672"/>
      <c r="OVK34" s="672"/>
      <c r="OVL34" s="672"/>
      <c r="OVM34" s="672"/>
      <c r="OVN34" s="672"/>
      <c r="OVO34" s="672"/>
      <c r="OVP34" s="672"/>
      <c r="OVQ34" s="672"/>
      <c r="OVR34" s="672"/>
      <c r="OVS34" s="672"/>
      <c r="OVT34" s="672"/>
      <c r="OVU34" s="672"/>
      <c r="OVV34" s="672"/>
      <c r="OVW34" s="672"/>
      <c r="OVX34" s="672"/>
      <c r="OVY34" s="672"/>
      <c r="OVZ34" s="672"/>
      <c r="OWA34" s="672"/>
      <c r="OWB34" s="672"/>
      <c r="OWC34" s="672"/>
      <c r="OWD34" s="672"/>
      <c r="OWE34" s="672"/>
      <c r="OWF34" s="672"/>
      <c r="OWG34" s="672"/>
      <c r="OWH34" s="672"/>
      <c r="OWI34" s="672"/>
      <c r="OWJ34" s="672"/>
      <c r="OWK34" s="672"/>
      <c r="OWL34" s="672"/>
      <c r="OWM34" s="672"/>
      <c r="OWN34" s="672"/>
      <c r="OWO34" s="672"/>
      <c r="OWP34" s="672"/>
      <c r="OWQ34" s="672"/>
      <c r="OWR34" s="672"/>
      <c r="OWS34" s="672"/>
      <c r="OWT34" s="672"/>
      <c r="OWU34" s="672"/>
      <c r="OWV34" s="672"/>
      <c r="OWW34" s="672"/>
      <c r="OWX34" s="672"/>
      <c r="OWY34" s="672"/>
      <c r="OWZ34" s="672"/>
      <c r="OXA34" s="672"/>
      <c r="OXB34" s="672"/>
      <c r="OXC34" s="672"/>
      <c r="OXD34" s="672"/>
      <c r="OXE34" s="672"/>
      <c r="OXF34" s="672"/>
      <c r="OXG34" s="672"/>
      <c r="OXH34" s="672"/>
      <c r="OXI34" s="672"/>
      <c r="OXJ34" s="672"/>
      <c r="OXK34" s="672"/>
      <c r="OXL34" s="672"/>
      <c r="OXM34" s="672"/>
      <c r="OXN34" s="672"/>
      <c r="OXO34" s="672"/>
      <c r="OXP34" s="672"/>
      <c r="OXQ34" s="672"/>
      <c r="OXR34" s="672"/>
      <c r="OXS34" s="672"/>
      <c r="OXT34" s="672"/>
      <c r="OXU34" s="672"/>
      <c r="OXV34" s="672"/>
      <c r="OXW34" s="672"/>
      <c r="OXX34" s="672"/>
      <c r="OXY34" s="672"/>
      <c r="OXZ34" s="672"/>
      <c r="OYA34" s="672"/>
      <c r="OYB34" s="672"/>
      <c r="OYC34" s="672"/>
      <c r="OYD34" s="672"/>
      <c r="OYE34" s="672"/>
      <c r="OYF34" s="672"/>
      <c r="OYG34" s="672"/>
      <c r="OYH34" s="672"/>
      <c r="OYI34" s="672"/>
      <c r="OYJ34" s="672"/>
      <c r="OYK34" s="672"/>
      <c r="OYL34" s="672"/>
      <c r="OYM34" s="672"/>
      <c r="OYN34" s="672"/>
      <c r="OYO34" s="672"/>
      <c r="OYP34" s="672"/>
      <c r="OYQ34" s="672"/>
      <c r="OYR34" s="672"/>
      <c r="OYS34" s="672"/>
      <c r="OYT34" s="672"/>
      <c r="OYU34" s="672"/>
      <c r="OYV34" s="672"/>
      <c r="OYW34" s="672"/>
      <c r="OYX34" s="672"/>
      <c r="OYY34" s="672"/>
      <c r="OYZ34" s="672"/>
      <c r="OZA34" s="672"/>
      <c r="OZB34" s="672"/>
      <c r="OZC34" s="672"/>
      <c r="OZD34" s="672"/>
      <c r="OZE34" s="672"/>
      <c r="OZF34" s="672"/>
      <c r="OZG34" s="672"/>
      <c r="OZH34" s="672"/>
      <c r="OZI34" s="672"/>
      <c r="OZJ34" s="672"/>
      <c r="OZK34" s="672"/>
      <c r="OZL34" s="672"/>
      <c r="OZM34" s="672"/>
      <c r="OZN34" s="672"/>
      <c r="OZO34" s="672"/>
      <c r="OZP34" s="672"/>
      <c r="OZQ34" s="672"/>
      <c r="OZR34" s="672"/>
      <c r="OZS34" s="672"/>
      <c r="OZT34" s="672"/>
      <c r="OZU34" s="672"/>
      <c r="OZV34" s="672"/>
      <c r="OZW34" s="672"/>
      <c r="OZX34" s="672"/>
      <c r="OZY34" s="672"/>
      <c r="OZZ34" s="672"/>
      <c r="PAA34" s="672"/>
      <c r="PAB34" s="672"/>
      <c r="PAC34" s="672"/>
      <c r="PAD34" s="672"/>
      <c r="PAE34" s="672"/>
      <c r="PAF34" s="672"/>
      <c r="PAG34" s="672"/>
      <c r="PAH34" s="672"/>
      <c r="PAI34" s="672"/>
      <c r="PAJ34" s="672"/>
      <c r="PAK34" s="672"/>
      <c r="PAL34" s="672"/>
      <c r="PAM34" s="672"/>
      <c r="PAN34" s="672"/>
      <c r="PAO34" s="672"/>
      <c r="PAP34" s="672"/>
      <c r="PAQ34" s="672"/>
      <c r="PAR34" s="672"/>
      <c r="PAS34" s="672"/>
      <c r="PAT34" s="672"/>
      <c r="PAU34" s="672"/>
      <c r="PAV34" s="672"/>
      <c r="PAW34" s="672"/>
      <c r="PAX34" s="672"/>
      <c r="PAY34" s="672"/>
      <c r="PAZ34" s="672"/>
      <c r="PBA34" s="672"/>
      <c r="PBB34" s="672"/>
      <c r="PBC34" s="672"/>
      <c r="PBD34" s="672"/>
      <c r="PBE34" s="672"/>
      <c r="PBF34" s="672"/>
      <c r="PBG34" s="672"/>
      <c r="PBH34" s="672"/>
      <c r="PBI34" s="672"/>
      <c r="PBJ34" s="672"/>
      <c r="PBK34" s="672"/>
      <c r="PBL34" s="672"/>
      <c r="PBM34" s="672"/>
      <c r="PBN34" s="672"/>
      <c r="PBO34" s="672"/>
      <c r="PBP34" s="672"/>
      <c r="PBQ34" s="672"/>
      <c r="PBR34" s="672"/>
      <c r="PBS34" s="672"/>
      <c r="PBT34" s="672"/>
      <c r="PBU34" s="672"/>
      <c r="PBV34" s="672"/>
      <c r="PBW34" s="672"/>
      <c r="PBX34" s="672"/>
      <c r="PBY34" s="672"/>
      <c r="PBZ34" s="672"/>
      <c r="PCA34" s="672"/>
      <c r="PCB34" s="672"/>
      <c r="PCC34" s="672"/>
      <c r="PCD34" s="672"/>
      <c r="PCE34" s="672"/>
      <c r="PCF34" s="672"/>
      <c r="PCG34" s="672"/>
      <c r="PCH34" s="672"/>
      <c r="PCI34" s="672"/>
      <c r="PCJ34" s="672"/>
      <c r="PCK34" s="672"/>
      <c r="PCL34" s="672"/>
      <c r="PCM34" s="672"/>
      <c r="PCN34" s="672"/>
      <c r="PCO34" s="672"/>
      <c r="PCP34" s="672"/>
      <c r="PCQ34" s="672"/>
      <c r="PCR34" s="672"/>
      <c r="PCS34" s="672"/>
      <c r="PCT34" s="672"/>
      <c r="PCU34" s="672"/>
      <c r="PCV34" s="672"/>
      <c r="PCW34" s="672"/>
      <c r="PCX34" s="672"/>
      <c r="PCY34" s="672"/>
      <c r="PCZ34" s="672"/>
      <c r="PDA34" s="672"/>
      <c r="PDB34" s="672"/>
      <c r="PDC34" s="672"/>
      <c r="PDD34" s="672"/>
      <c r="PDE34" s="672"/>
      <c r="PDF34" s="672"/>
      <c r="PDG34" s="672"/>
      <c r="PDH34" s="672"/>
      <c r="PDI34" s="672"/>
      <c r="PDJ34" s="672"/>
      <c r="PDK34" s="672"/>
      <c r="PDL34" s="672"/>
      <c r="PDM34" s="672"/>
      <c r="PDN34" s="672"/>
      <c r="PDO34" s="672"/>
      <c r="PDP34" s="672"/>
      <c r="PDQ34" s="672"/>
      <c r="PDR34" s="672"/>
      <c r="PDS34" s="672"/>
      <c r="PDT34" s="672"/>
      <c r="PDU34" s="672"/>
      <c r="PDV34" s="672"/>
      <c r="PDW34" s="672"/>
      <c r="PDX34" s="672"/>
      <c r="PDY34" s="672"/>
      <c r="PDZ34" s="672"/>
      <c r="PEA34" s="672"/>
      <c r="PEB34" s="672"/>
      <c r="PEC34" s="672"/>
      <c r="PED34" s="672"/>
      <c r="PEE34" s="672"/>
      <c r="PEF34" s="672"/>
      <c r="PEG34" s="672"/>
      <c r="PEH34" s="672"/>
      <c r="PEI34" s="672"/>
      <c r="PEJ34" s="672"/>
      <c r="PEK34" s="672"/>
      <c r="PEL34" s="672"/>
      <c r="PEM34" s="672"/>
      <c r="PEN34" s="672"/>
      <c r="PEO34" s="672"/>
      <c r="PEP34" s="672"/>
      <c r="PEQ34" s="672"/>
      <c r="PER34" s="672"/>
      <c r="PES34" s="672"/>
      <c r="PET34" s="672"/>
      <c r="PEU34" s="672"/>
      <c r="PEV34" s="672"/>
      <c r="PEW34" s="672"/>
      <c r="PEX34" s="672"/>
      <c r="PEY34" s="672"/>
      <c r="PEZ34" s="672"/>
      <c r="PFA34" s="672"/>
      <c r="PFB34" s="672"/>
      <c r="PFC34" s="672"/>
      <c r="PFD34" s="672"/>
      <c r="PFE34" s="672"/>
      <c r="PFF34" s="672"/>
      <c r="PFG34" s="672"/>
      <c r="PFH34" s="672"/>
      <c r="PFI34" s="672"/>
      <c r="PFJ34" s="672"/>
      <c r="PFK34" s="672"/>
      <c r="PFL34" s="672"/>
      <c r="PFM34" s="672"/>
      <c r="PFN34" s="672"/>
      <c r="PFO34" s="672"/>
      <c r="PFP34" s="672"/>
      <c r="PFQ34" s="672"/>
      <c r="PFR34" s="672"/>
      <c r="PFS34" s="672"/>
      <c r="PFT34" s="672"/>
      <c r="PFU34" s="672"/>
      <c r="PFV34" s="672"/>
      <c r="PFW34" s="672"/>
      <c r="PFX34" s="672"/>
      <c r="PFY34" s="672"/>
      <c r="PFZ34" s="672"/>
      <c r="PGA34" s="672"/>
      <c r="PGB34" s="672"/>
      <c r="PGC34" s="672"/>
      <c r="PGD34" s="672"/>
      <c r="PGE34" s="672"/>
      <c r="PGF34" s="672"/>
      <c r="PGG34" s="672"/>
      <c r="PGH34" s="672"/>
      <c r="PGI34" s="672"/>
      <c r="PGJ34" s="672"/>
      <c r="PGK34" s="672"/>
      <c r="PGL34" s="672"/>
      <c r="PGM34" s="672"/>
      <c r="PGN34" s="672"/>
      <c r="PGO34" s="672"/>
      <c r="PGP34" s="672"/>
      <c r="PGQ34" s="672"/>
      <c r="PGR34" s="672"/>
      <c r="PGS34" s="672"/>
      <c r="PGT34" s="672"/>
      <c r="PGU34" s="672"/>
      <c r="PGV34" s="672"/>
      <c r="PGW34" s="672"/>
      <c r="PGX34" s="672"/>
      <c r="PGY34" s="672"/>
      <c r="PGZ34" s="672"/>
      <c r="PHA34" s="672"/>
      <c r="PHB34" s="672"/>
      <c r="PHC34" s="672"/>
      <c r="PHD34" s="672"/>
      <c r="PHE34" s="672"/>
      <c r="PHF34" s="672"/>
      <c r="PHG34" s="672"/>
      <c r="PHH34" s="672"/>
      <c r="PHI34" s="672"/>
      <c r="PHJ34" s="672"/>
      <c r="PHK34" s="672"/>
      <c r="PHL34" s="672"/>
      <c r="PHM34" s="672"/>
      <c r="PHN34" s="672"/>
      <c r="PHO34" s="672"/>
      <c r="PHP34" s="672"/>
      <c r="PHQ34" s="672"/>
      <c r="PHR34" s="672"/>
      <c r="PHS34" s="672"/>
      <c r="PHT34" s="672"/>
      <c r="PHU34" s="672"/>
      <c r="PHV34" s="672"/>
      <c r="PHW34" s="672"/>
      <c r="PHX34" s="672"/>
      <c r="PHY34" s="672"/>
      <c r="PHZ34" s="672"/>
      <c r="PIA34" s="672"/>
      <c r="PIB34" s="672"/>
      <c r="PIC34" s="672"/>
      <c r="PID34" s="672"/>
      <c r="PIE34" s="672"/>
      <c r="PIF34" s="672"/>
      <c r="PIG34" s="672"/>
      <c r="PIH34" s="672"/>
      <c r="PII34" s="672"/>
      <c r="PIJ34" s="672"/>
      <c r="PIK34" s="672"/>
      <c r="PIL34" s="672"/>
      <c r="PIM34" s="672"/>
      <c r="PIN34" s="672"/>
      <c r="PIO34" s="672"/>
      <c r="PIP34" s="672"/>
      <c r="PIQ34" s="672"/>
      <c r="PIR34" s="672"/>
      <c r="PIS34" s="672"/>
      <c r="PIT34" s="672"/>
      <c r="PIU34" s="672"/>
      <c r="PIV34" s="672"/>
      <c r="PIW34" s="672"/>
      <c r="PIX34" s="672"/>
      <c r="PIY34" s="672"/>
      <c r="PIZ34" s="672"/>
      <c r="PJA34" s="672"/>
      <c r="PJB34" s="672"/>
      <c r="PJC34" s="672"/>
      <c r="PJD34" s="672"/>
      <c r="PJE34" s="672"/>
      <c r="PJF34" s="672"/>
      <c r="PJG34" s="672"/>
      <c r="PJH34" s="672"/>
      <c r="PJI34" s="672"/>
      <c r="PJJ34" s="672"/>
      <c r="PJK34" s="672"/>
      <c r="PJL34" s="672"/>
      <c r="PJM34" s="672"/>
      <c r="PJN34" s="672"/>
      <c r="PJO34" s="672"/>
      <c r="PJP34" s="672"/>
      <c r="PJQ34" s="672"/>
      <c r="PJR34" s="672"/>
      <c r="PJS34" s="672"/>
      <c r="PJT34" s="672"/>
      <c r="PJU34" s="672"/>
      <c r="PJV34" s="672"/>
      <c r="PJW34" s="672"/>
      <c r="PJX34" s="672"/>
      <c r="PJY34" s="672"/>
      <c r="PJZ34" s="672"/>
      <c r="PKA34" s="672"/>
      <c r="PKB34" s="672"/>
      <c r="PKC34" s="672"/>
      <c r="PKD34" s="672"/>
      <c r="PKE34" s="672"/>
      <c r="PKF34" s="672"/>
      <c r="PKG34" s="672"/>
      <c r="PKH34" s="672"/>
      <c r="PKI34" s="672"/>
      <c r="PKJ34" s="672"/>
      <c r="PKK34" s="672"/>
      <c r="PKL34" s="672"/>
      <c r="PKM34" s="672"/>
      <c r="PKN34" s="672"/>
      <c r="PKO34" s="672"/>
      <c r="PKP34" s="672"/>
      <c r="PKQ34" s="672"/>
      <c r="PKR34" s="672"/>
      <c r="PKS34" s="672"/>
      <c r="PKT34" s="672"/>
      <c r="PKU34" s="672"/>
      <c r="PKV34" s="672"/>
      <c r="PKW34" s="672"/>
      <c r="PKX34" s="672"/>
      <c r="PKY34" s="672"/>
      <c r="PKZ34" s="672"/>
      <c r="PLA34" s="672"/>
      <c r="PLB34" s="672"/>
      <c r="PLC34" s="672"/>
      <c r="PLD34" s="672"/>
      <c r="PLE34" s="672"/>
      <c r="PLF34" s="672"/>
      <c r="PLG34" s="672"/>
      <c r="PLH34" s="672"/>
      <c r="PLI34" s="672"/>
      <c r="PLJ34" s="672"/>
      <c r="PLK34" s="672"/>
      <c r="PLL34" s="672"/>
      <c r="PLM34" s="672"/>
      <c r="PLN34" s="672"/>
      <c r="PLO34" s="672"/>
      <c r="PLP34" s="672"/>
      <c r="PLQ34" s="672"/>
      <c r="PLR34" s="672"/>
      <c r="PLS34" s="672"/>
      <c r="PLT34" s="672"/>
      <c r="PLU34" s="672"/>
      <c r="PLV34" s="672"/>
      <c r="PLW34" s="672"/>
      <c r="PLX34" s="672"/>
      <c r="PLY34" s="672"/>
      <c r="PLZ34" s="672"/>
      <c r="PMA34" s="672"/>
      <c r="PMB34" s="672"/>
      <c r="PMC34" s="672"/>
      <c r="PMD34" s="672"/>
      <c r="PME34" s="672"/>
      <c r="PMF34" s="672"/>
      <c r="PMG34" s="672"/>
      <c r="PMH34" s="672"/>
      <c r="PMI34" s="672"/>
      <c r="PMJ34" s="672"/>
      <c r="PMK34" s="672"/>
      <c r="PML34" s="672"/>
      <c r="PMM34" s="672"/>
      <c r="PMN34" s="672"/>
      <c r="PMO34" s="672"/>
      <c r="PMP34" s="672"/>
      <c r="PMQ34" s="672"/>
      <c r="PMR34" s="672"/>
      <c r="PMS34" s="672"/>
      <c r="PMT34" s="672"/>
      <c r="PMU34" s="672"/>
      <c r="PMV34" s="672"/>
      <c r="PMW34" s="672"/>
      <c r="PMX34" s="672"/>
      <c r="PMY34" s="672"/>
      <c r="PMZ34" s="672"/>
      <c r="PNA34" s="672"/>
      <c r="PNB34" s="672"/>
      <c r="PNC34" s="672"/>
      <c r="PND34" s="672"/>
      <c r="PNE34" s="672"/>
      <c r="PNF34" s="672"/>
      <c r="PNG34" s="672"/>
      <c r="PNH34" s="672"/>
      <c r="PNI34" s="672"/>
      <c r="PNJ34" s="672"/>
      <c r="PNK34" s="672"/>
      <c r="PNL34" s="672"/>
      <c r="PNM34" s="672"/>
      <c r="PNN34" s="672"/>
      <c r="PNO34" s="672"/>
      <c r="PNP34" s="672"/>
      <c r="PNQ34" s="672"/>
      <c r="PNR34" s="672"/>
      <c r="PNS34" s="672"/>
      <c r="PNT34" s="672"/>
      <c r="PNU34" s="672"/>
      <c r="PNV34" s="672"/>
      <c r="PNW34" s="672"/>
      <c r="PNX34" s="672"/>
      <c r="PNY34" s="672"/>
      <c r="PNZ34" s="672"/>
      <c r="POA34" s="672"/>
      <c r="POB34" s="672"/>
      <c r="POC34" s="672"/>
      <c r="POD34" s="672"/>
      <c r="POE34" s="672"/>
      <c r="POF34" s="672"/>
      <c r="POG34" s="672"/>
      <c r="POH34" s="672"/>
      <c r="POI34" s="672"/>
      <c r="POJ34" s="672"/>
      <c r="POK34" s="672"/>
      <c r="POL34" s="672"/>
      <c r="POM34" s="672"/>
      <c r="PON34" s="672"/>
      <c r="POO34" s="672"/>
      <c r="POP34" s="672"/>
      <c r="POQ34" s="672"/>
      <c r="POR34" s="672"/>
      <c r="POS34" s="672"/>
      <c r="POT34" s="672"/>
      <c r="POU34" s="672"/>
      <c r="POV34" s="672"/>
      <c r="POW34" s="672"/>
      <c r="POX34" s="672"/>
      <c r="POY34" s="672"/>
      <c r="POZ34" s="672"/>
      <c r="PPA34" s="672"/>
      <c r="PPB34" s="672"/>
      <c r="PPC34" s="672"/>
      <c r="PPD34" s="672"/>
      <c r="PPE34" s="672"/>
      <c r="PPF34" s="672"/>
      <c r="PPG34" s="672"/>
      <c r="PPH34" s="672"/>
      <c r="PPI34" s="672"/>
      <c r="PPJ34" s="672"/>
      <c r="PPK34" s="672"/>
      <c r="PPL34" s="672"/>
      <c r="PPM34" s="672"/>
      <c r="PPN34" s="672"/>
      <c r="PPO34" s="672"/>
      <c r="PPP34" s="672"/>
      <c r="PPQ34" s="672"/>
      <c r="PPR34" s="672"/>
      <c r="PPS34" s="672"/>
      <c r="PPT34" s="672"/>
      <c r="PPU34" s="672"/>
      <c r="PPV34" s="672"/>
      <c r="PPW34" s="672"/>
      <c r="PPX34" s="672"/>
      <c r="PPY34" s="672"/>
      <c r="PPZ34" s="672"/>
      <c r="PQA34" s="672"/>
      <c r="PQB34" s="672"/>
      <c r="PQC34" s="672"/>
      <c r="PQD34" s="672"/>
      <c r="PQE34" s="672"/>
      <c r="PQF34" s="672"/>
      <c r="PQG34" s="672"/>
      <c r="PQH34" s="672"/>
      <c r="PQI34" s="672"/>
      <c r="PQJ34" s="672"/>
      <c r="PQK34" s="672"/>
      <c r="PQL34" s="672"/>
      <c r="PQM34" s="672"/>
      <c r="PQN34" s="672"/>
      <c r="PQO34" s="672"/>
      <c r="PQP34" s="672"/>
      <c r="PQQ34" s="672"/>
      <c r="PQR34" s="672"/>
      <c r="PQS34" s="672"/>
      <c r="PQT34" s="672"/>
      <c r="PQU34" s="672"/>
      <c r="PQV34" s="672"/>
      <c r="PQW34" s="672"/>
      <c r="PQX34" s="672"/>
      <c r="PQY34" s="672"/>
      <c r="PQZ34" s="672"/>
      <c r="PRA34" s="672"/>
      <c r="PRB34" s="672"/>
      <c r="PRC34" s="672"/>
      <c r="PRD34" s="672"/>
      <c r="PRE34" s="672"/>
      <c r="PRF34" s="672"/>
      <c r="PRG34" s="672"/>
      <c r="PRH34" s="672"/>
      <c r="PRI34" s="672"/>
      <c r="PRJ34" s="672"/>
      <c r="PRK34" s="672"/>
      <c r="PRL34" s="672"/>
      <c r="PRM34" s="672"/>
      <c r="PRN34" s="672"/>
      <c r="PRO34" s="672"/>
      <c r="PRP34" s="672"/>
      <c r="PRQ34" s="672"/>
      <c r="PRR34" s="672"/>
      <c r="PRS34" s="672"/>
      <c r="PRT34" s="672"/>
      <c r="PRU34" s="672"/>
      <c r="PRV34" s="672"/>
      <c r="PRW34" s="672"/>
      <c r="PRX34" s="672"/>
      <c r="PRY34" s="672"/>
      <c r="PRZ34" s="672"/>
      <c r="PSA34" s="672"/>
      <c r="PSB34" s="672"/>
      <c r="PSC34" s="672"/>
      <c r="PSD34" s="672"/>
      <c r="PSE34" s="672"/>
      <c r="PSF34" s="672"/>
      <c r="PSG34" s="672"/>
      <c r="PSH34" s="672"/>
      <c r="PSI34" s="672"/>
      <c r="PSJ34" s="672"/>
      <c r="PSK34" s="672"/>
      <c r="PSL34" s="672"/>
      <c r="PSM34" s="672"/>
      <c r="PSN34" s="672"/>
      <c r="PSO34" s="672"/>
      <c r="PSP34" s="672"/>
      <c r="PSQ34" s="672"/>
      <c r="PSR34" s="672"/>
      <c r="PSS34" s="672"/>
      <c r="PST34" s="672"/>
      <c r="PSU34" s="672"/>
      <c r="PSV34" s="672"/>
      <c r="PSW34" s="672"/>
      <c r="PSX34" s="672"/>
      <c r="PSY34" s="672"/>
      <c r="PSZ34" s="672"/>
      <c r="PTA34" s="672"/>
      <c r="PTB34" s="672"/>
      <c r="PTC34" s="672"/>
      <c r="PTD34" s="672"/>
      <c r="PTE34" s="672"/>
      <c r="PTF34" s="672"/>
      <c r="PTG34" s="672"/>
      <c r="PTH34" s="672"/>
      <c r="PTI34" s="672"/>
      <c r="PTJ34" s="672"/>
      <c r="PTK34" s="672"/>
      <c r="PTL34" s="672"/>
      <c r="PTM34" s="672"/>
      <c r="PTN34" s="672"/>
      <c r="PTO34" s="672"/>
      <c r="PTP34" s="672"/>
      <c r="PTQ34" s="672"/>
      <c r="PTR34" s="672"/>
      <c r="PTS34" s="672"/>
      <c r="PTT34" s="672"/>
      <c r="PTU34" s="672"/>
      <c r="PTV34" s="672"/>
      <c r="PTW34" s="672"/>
      <c r="PTX34" s="672"/>
      <c r="PTY34" s="672"/>
      <c r="PTZ34" s="672"/>
      <c r="PUA34" s="672"/>
      <c r="PUB34" s="672"/>
      <c r="PUC34" s="672"/>
      <c r="PUD34" s="672"/>
      <c r="PUE34" s="672"/>
      <c r="PUF34" s="672"/>
      <c r="PUG34" s="672"/>
      <c r="PUH34" s="672"/>
      <c r="PUI34" s="672"/>
      <c r="PUJ34" s="672"/>
      <c r="PUK34" s="672"/>
      <c r="PUL34" s="672"/>
      <c r="PUM34" s="672"/>
      <c r="PUN34" s="672"/>
      <c r="PUO34" s="672"/>
      <c r="PUP34" s="672"/>
      <c r="PUQ34" s="672"/>
      <c r="PUR34" s="672"/>
      <c r="PUS34" s="672"/>
      <c r="PUT34" s="672"/>
      <c r="PUU34" s="672"/>
      <c r="PUV34" s="672"/>
      <c r="PUW34" s="672"/>
      <c r="PUX34" s="672"/>
      <c r="PUY34" s="672"/>
      <c r="PUZ34" s="672"/>
      <c r="PVA34" s="672"/>
      <c r="PVB34" s="672"/>
      <c r="PVC34" s="672"/>
      <c r="PVD34" s="672"/>
      <c r="PVE34" s="672"/>
      <c r="PVF34" s="672"/>
      <c r="PVG34" s="672"/>
      <c r="PVH34" s="672"/>
      <c r="PVI34" s="672"/>
      <c r="PVJ34" s="672"/>
      <c r="PVK34" s="672"/>
      <c r="PVL34" s="672"/>
      <c r="PVM34" s="672"/>
      <c r="PVN34" s="672"/>
      <c r="PVO34" s="672"/>
      <c r="PVP34" s="672"/>
      <c r="PVQ34" s="672"/>
      <c r="PVR34" s="672"/>
      <c r="PVS34" s="672"/>
      <c r="PVT34" s="672"/>
      <c r="PVU34" s="672"/>
      <c r="PVV34" s="672"/>
      <c r="PVW34" s="672"/>
      <c r="PVX34" s="672"/>
      <c r="PVY34" s="672"/>
      <c r="PVZ34" s="672"/>
      <c r="PWA34" s="672"/>
      <c r="PWB34" s="672"/>
      <c r="PWC34" s="672"/>
      <c r="PWD34" s="672"/>
      <c r="PWE34" s="672"/>
      <c r="PWF34" s="672"/>
      <c r="PWG34" s="672"/>
      <c r="PWH34" s="672"/>
      <c r="PWI34" s="672"/>
      <c r="PWJ34" s="672"/>
      <c r="PWK34" s="672"/>
      <c r="PWL34" s="672"/>
      <c r="PWM34" s="672"/>
      <c r="PWN34" s="672"/>
      <c r="PWO34" s="672"/>
      <c r="PWP34" s="672"/>
      <c r="PWQ34" s="672"/>
      <c r="PWR34" s="672"/>
      <c r="PWS34" s="672"/>
      <c r="PWT34" s="672"/>
      <c r="PWU34" s="672"/>
      <c r="PWV34" s="672"/>
      <c r="PWW34" s="672"/>
      <c r="PWX34" s="672"/>
      <c r="PWY34" s="672"/>
      <c r="PWZ34" s="672"/>
      <c r="PXA34" s="672"/>
      <c r="PXB34" s="672"/>
      <c r="PXC34" s="672"/>
      <c r="PXD34" s="672"/>
      <c r="PXE34" s="672"/>
      <c r="PXF34" s="672"/>
      <c r="PXG34" s="672"/>
      <c r="PXH34" s="672"/>
      <c r="PXI34" s="672"/>
      <c r="PXJ34" s="672"/>
      <c r="PXK34" s="672"/>
      <c r="PXL34" s="672"/>
      <c r="PXM34" s="672"/>
      <c r="PXN34" s="672"/>
      <c r="PXO34" s="672"/>
      <c r="PXP34" s="672"/>
      <c r="PXQ34" s="672"/>
      <c r="PXR34" s="672"/>
      <c r="PXS34" s="672"/>
      <c r="PXT34" s="672"/>
      <c r="PXU34" s="672"/>
      <c r="PXV34" s="672"/>
      <c r="PXW34" s="672"/>
      <c r="PXX34" s="672"/>
      <c r="PXY34" s="672"/>
      <c r="PXZ34" s="672"/>
      <c r="PYA34" s="672"/>
      <c r="PYB34" s="672"/>
      <c r="PYC34" s="672"/>
      <c r="PYD34" s="672"/>
      <c r="PYE34" s="672"/>
      <c r="PYF34" s="672"/>
      <c r="PYG34" s="672"/>
      <c r="PYH34" s="672"/>
      <c r="PYI34" s="672"/>
      <c r="PYJ34" s="672"/>
      <c r="PYK34" s="672"/>
      <c r="PYL34" s="672"/>
      <c r="PYM34" s="672"/>
      <c r="PYN34" s="672"/>
      <c r="PYO34" s="672"/>
      <c r="PYP34" s="672"/>
      <c r="PYQ34" s="672"/>
      <c r="PYR34" s="672"/>
      <c r="PYS34" s="672"/>
      <c r="PYT34" s="672"/>
      <c r="PYU34" s="672"/>
      <c r="PYV34" s="672"/>
      <c r="PYW34" s="672"/>
      <c r="PYX34" s="672"/>
      <c r="PYY34" s="672"/>
      <c r="PYZ34" s="672"/>
      <c r="PZA34" s="672"/>
      <c r="PZB34" s="672"/>
      <c r="PZC34" s="672"/>
      <c r="PZD34" s="672"/>
      <c r="PZE34" s="672"/>
      <c r="PZF34" s="672"/>
      <c r="PZG34" s="672"/>
      <c r="PZH34" s="672"/>
      <c r="PZI34" s="672"/>
      <c r="PZJ34" s="672"/>
      <c r="PZK34" s="672"/>
      <c r="PZL34" s="672"/>
      <c r="PZM34" s="672"/>
      <c r="PZN34" s="672"/>
      <c r="PZO34" s="672"/>
      <c r="PZP34" s="672"/>
      <c r="PZQ34" s="672"/>
      <c r="PZR34" s="672"/>
      <c r="PZS34" s="672"/>
      <c r="PZT34" s="672"/>
      <c r="PZU34" s="672"/>
      <c r="PZV34" s="672"/>
      <c r="PZW34" s="672"/>
      <c r="PZX34" s="672"/>
      <c r="PZY34" s="672"/>
      <c r="PZZ34" s="672"/>
      <c r="QAA34" s="672"/>
      <c r="QAB34" s="672"/>
      <c r="QAC34" s="672"/>
      <c r="QAD34" s="672"/>
      <c r="QAE34" s="672"/>
      <c r="QAF34" s="672"/>
      <c r="QAG34" s="672"/>
      <c r="QAH34" s="672"/>
      <c r="QAI34" s="672"/>
      <c r="QAJ34" s="672"/>
      <c r="QAK34" s="672"/>
      <c r="QAL34" s="672"/>
      <c r="QAM34" s="672"/>
      <c r="QAN34" s="672"/>
      <c r="QAO34" s="672"/>
      <c r="QAP34" s="672"/>
      <c r="QAQ34" s="672"/>
      <c r="QAR34" s="672"/>
      <c r="QAS34" s="672"/>
      <c r="QAT34" s="672"/>
      <c r="QAU34" s="672"/>
      <c r="QAV34" s="672"/>
      <c r="QAW34" s="672"/>
      <c r="QAX34" s="672"/>
      <c r="QAY34" s="672"/>
      <c r="QAZ34" s="672"/>
      <c r="QBA34" s="672"/>
      <c r="QBB34" s="672"/>
      <c r="QBC34" s="672"/>
      <c r="QBD34" s="672"/>
      <c r="QBE34" s="672"/>
      <c r="QBF34" s="672"/>
      <c r="QBG34" s="672"/>
      <c r="QBH34" s="672"/>
      <c r="QBI34" s="672"/>
      <c r="QBJ34" s="672"/>
      <c r="QBK34" s="672"/>
      <c r="QBL34" s="672"/>
      <c r="QBM34" s="672"/>
      <c r="QBN34" s="672"/>
      <c r="QBO34" s="672"/>
      <c r="QBP34" s="672"/>
      <c r="QBQ34" s="672"/>
      <c r="QBR34" s="672"/>
      <c r="QBS34" s="672"/>
      <c r="QBT34" s="672"/>
      <c r="QBU34" s="672"/>
      <c r="QBV34" s="672"/>
      <c r="QBW34" s="672"/>
      <c r="QBX34" s="672"/>
      <c r="QBY34" s="672"/>
      <c r="QBZ34" s="672"/>
      <c r="QCA34" s="672"/>
      <c r="QCB34" s="672"/>
      <c r="QCC34" s="672"/>
      <c r="QCD34" s="672"/>
      <c r="QCE34" s="672"/>
      <c r="QCF34" s="672"/>
      <c r="QCG34" s="672"/>
      <c r="QCH34" s="672"/>
      <c r="QCI34" s="672"/>
      <c r="QCJ34" s="672"/>
      <c r="QCK34" s="672"/>
      <c r="QCL34" s="672"/>
      <c r="QCM34" s="672"/>
      <c r="QCN34" s="672"/>
      <c r="QCO34" s="672"/>
      <c r="QCP34" s="672"/>
      <c r="QCQ34" s="672"/>
      <c r="QCR34" s="672"/>
      <c r="QCS34" s="672"/>
      <c r="QCT34" s="672"/>
      <c r="QCU34" s="672"/>
      <c r="QCV34" s="672"/>
      <c r="QCW34" s="672"/>
      <c r="QCX34" s="672"/>
      <c r="QCY34" s="672"/>
      <c r="QCZ34" s="672"/>
      <c r="QDA34" s="672"/>
      <c r="QDB34" s="672"/>
      <c r="QDC34" s="672"/>
      <c r="QDD34" s="672"/>
      <c r="QDE34" s="672"/>
      <c r="QDF34" s="672"/>
      <c r="QDG34" s="672"/>
      <c r="QDH34" s="672"/>
      <c r="QDI34" s="672"/>
      <c r="QDJ34" s="672"/>
      <c r="QDK34" s="672"/>
      <c r="QDL34" s="672"/>
      <c r="QDM34" s="672"/>
      <c r="QDN34" s="672"/>
      <c r="QDO34" s="672"/>
      <c r="QDP34" s="672"/>
      <c r="QDQ34" s="672"/>
      <c r="QDR34" s="672"/>
      <c r="QDS34" s="672"/>
      <c r="QDT34" s="672"/>
      <c r="QDU34" s="672"/>
      <c r="QDV34" s="672"/>
      <c r="QDW34" s="672"/>
      <c r="QDX34" s="672"/>
      <c r="QDY34" s="672"/>
      <c r="QDZ34" s="672"/>
      <c r="QEA34" s="672"/>
      <c r="QEB34" s="672"/>
      <c r="QEC34" s="672"/>
      <c r="QED34" s="672"/>
      <c r="QEE34" s="672"/>
      <c r="QEF34" s="672"/>
      <c r="QEG34" s="672"/>
      <c r="QEH34" s="672"/>
      <c r="QEI34" s="672"/>
      <c r="QEJ34" s="672"/>
      <c r="QEK34" s="672"/>
      <c r="QEL34" s="672"/>
      <c r="QEM34" s="672"/>
      <c r="QEN34" s="672"/>
      <c r="QEO34" s="672"/>
      <c r="QEP34" s="672"/>
      <c r="QEQ34" s="672"/>
      <c r="QER34" s="672"/>
      <c r="QES34" s="672"/>
      <c r="QET34" s="672"/>
      <c r="QEU34" s="672"/>
      <c r="QEV34" s="672"/>
      <c r="QEW34" s="672"/>
      <c r="QEX34" s="672"/>
      <c r="QEY34" s="672"/>
      <c r="QEZ34" s="672"/>
      <c r="QFA34" s="672"/>
      <c r="QFB34" s="672"/>
      <c r="QFC34" s="672"/>
      <c r="QFD34" s="672"/>
      <c r="QFE34" s="672"/>
      <c r="QFF34" s="672"/>
      <c r="QFG34" s="672"/>
      <c r="QFH34" s="672"/>
      <c r="QFI34" s="672"/>
      <c r="QFJ34" s="672"/>
      <c r="QFK34" s="672"/>
      <c r="QFL34" s="672"/>
      <c r="QFM34" s="672"/>
      <c r="QFN34" s="672"/>
      <c r="QFO34" s="672"/>
      <c r="QFP34" s="672"/>
      <c r="QFQ34" s="672"/>
      <c r="QFR34" s="672"/>
      <c r="QFS34" s="672"/>
      <c r="QFT34" s="672"/>
      <c r="QFU34" s="672"/>
      <c r="QFV34" s="672"/>
      <c r="QFW34" s="672"/>
      <c r="QFX34" s="672"/>
      <c r="QFY34" s="672"/>
      <c r="QFZ34" s="672"/>
      <c r="QGA34" s="672"/>
      <c r="QGB34" s="672"/>
      <c r="QGC34" s="672"/>
      <c r="QGD34" s="672"/>
      <c r="QGE34" s="672"/>
      <c r="QGF34" s="672"/>
      <c r="QGG34" s="672"/>
      <c r="QGH34" s="672"/>
      <c r="QGI34" s="672"/>
      <c r="QGJ34" s="672"/>
      <c r="QGK34" s="672"/>
      <c r="QGL34" s="672"/>
      <c r="QGM34" s="672"/>
      <c r="QGN34" s="672"/>
      <c r="QGO34" s="672"/>
      <c r="QGP34" s="672"/>
      <c r="QGQ34" s="672"/>
      <c r="QGR34" s="672"/>
      <c r="QGS34" s="672"/>
      <c r="QGT34" s="672"/>
      <c r="QGU34" s="672"/>
      <c r="QGV34" s="672"/>
      <c r="QGW34" s="672"/>
      <c r="QGX34" s="672"/>
      <c r="QGY34" s="672"/>
      <c r="QGZ34" s="672"/>
      <c r="QHA34" s="672"/>
      <c r="QHB34" s="672"/>
      <c r="QHC34" s="672"/>
      <c r="QHD34" s="672"/>
      <c r="QHE34" s="672"/>
      <c r="QHF34" s="672"/>
      <c r="QHG34" s="672"/>
      <c r="QHH34" s="672"/>
      <c r="QHI34" s="672"/>
      <c r="QHJ34" s="672"/>
      <c r="QHK34" s="672"/>
      <c r="QHL34" s="672"/>
      <c r="QHM34" s="672"/>
      <c r="QHN34" s="672"/>
      <c r="QHO34" s="672"/>
      <c r="QHP34" s="672"/>
      <c r="QHQ34" s="672"/>
      <c r="QHR34" s="672"/>
      <c r="QHS34" s="672"/>
      <c r="QHT34" s="672"/>
      <c r="QHU34" s="672"/>
      <c r="QHV34" s="672"/>
      <c r="QHW34" s="672"/>
      <c r="QHX34" s="672"/>
      <c r="QHY34" s="672"/>
      <c r="QHZ34" s="672"/>
      <c r="QIA34" s="672"/>
      <c r="QIB34" s="672"/>
      <c r="QIC34" s="672"/>
      <c r="QID34" s="672"/>
      <c r="QIE34" s="672"/>
      <c r="QIF34" s="672"/>
      <c r="QIG34" s="672"/>
      <c r="QIH34" s="672"/>
      <c r="QII34" s="672"/>
      <c r="QIJ34" s="672"/>
      <c r="QIK34" s="672"/>
      <c r="QIL34" s="672"/>
      <c r="QIM34" s="672"/>
      <c r="QIN34" s="672"/>
      <c r="QIO34" s="672"/>
      <c r="QIP34" s="672"/>
      <c r="QIQ34" s="672"/>
      <c r="QIR34" s="672"/>
      <c r="QIS34" s="672"/>
      <c r="QIT34" s="672"/>
      <c r="QIU34" s="672"/>
      <c r="QIV34" s="672"/>
      <c r="QIW34" s="672"/>
      <c r="QIX34" s="672"/>
      <c r="QIY34" s="672"/>
      <c r="QIZ34" s="672"/>
      <c r="QJA34" s="672"/>
      <c r="QJB34" s="672"/>
      <c r="QJC34" s="672"/>
      <c r="QJD34" s="672"/>
      <c r="QJE34" s="672"/>
      <c r="QJF34" s="672"/>
      <c r="QJG34" s="672"/>
      <c r="QJH34" s="672"/>
      <c r="QJI34" s="672"/>
      <c r="QJJ34" s="672"/>
      <c r="QJK34" s="672"/>
      <c r="QJL34" s="672"/>
      <c r="QJM34" s="672"/>
      <c r="QJN34" s="672"/>
      <c r="QJO34" s="672"/>
      <c r="QJP34" s="672"/>
      <c r="QJQ34" s="672"/>
      <c r="QJR34" s="672"/>
      <c r="QJS34" s="672"/>
      <c r="QJT34" s="672"/>
      <c r="QJU34" s="672"/>
      <c r="QJV34" s="672"/>
      <c r="QJW34" s="672"/>
      <c r="QJX34" s="672"/>
      <c r="QJY34" s="672"/>
      <c r="QJZ34" s="672"/>
      <c r="QKA34" s="672"/>
      <c r="QKB34" s="672"/>
      <c r="QKC34" s="672"/>
      <c r="QKD34" s="672"/>
      <c r="QKE34" s="672"/>
      <c r="QKF34" s="672"/>
      <c r="QKG34" s="672"/>
      <c r="QKH34" s="672"/>
      <c r="QKI34" s="672"/>
      <c r="QKJ34" s="672"/>
      <c r="QKK34" s="672"/>
      <c r="QKL34" s="672"/>
      <c r="QKM34" s="672"/>
      <c r="QKN34" s="672"/>
      <c r="QKO34" s="672"/>
      <c r="QKP34" s="672"/>
      <c r="QKQ34" s="672"/>
      <c r="QKR34" s="672"/>
      <c r="QKS34" s="672"/>
      <c r="QKT34" s="672"/>
      <c r="QKU34" s="672"/>
      <c r="QKV34" s="672"/>
      <c r="QKW34" s="672"/>
      <c r="QKX34" s="672"/>
      <c r="QKY34" s="672"/>
      <c r="QKZ34" s="672"/>
      <c r="QLA34" s="672"/>
      <c r="QLB34" s="672"/>
      <c r="QLC34" s="672"/>
      <c r="QLD34" s="672"/>
      <c r="QLE34" s="672"/>
      <c r="QLF34" s="672"/>
      <c r="QLG34" s="672"/>
      <c r="QLH34" s="672"/>
      <c r="QLI34" s="672"/>
      <c r="QLJ34" s="672"/>
      <c r="QLK34" s="672"/>
      <c r="QLL34" s="672"/>
      <c r="QLM34" s="672"/>
      <c r="QLN34" s="672"/>
      <c r="QLO34" s="672"/>
      <c r="QLP34" s="672"/>
      <c r="QLQ34" s="672"/>
      <c r="QLR34" s="672"/>
      <c r="QLS34" s="672"/>
      <c r="QLT34" s="672"/>
      <c r="QLU34" s="672"/>
      <c r="QLV34" s="672"/>
      <c r="QLW34" s="672"/>
      <c r="QLX34" s="672"/>
      <c r="QLY34" s="672"/>
      <c r="QLZ34" s="672"/>
      <c r="QMA34" s="672"/>
      <c r="QMB34" s="672"/>
      <c r="QMC34" s="672"/>
      <c r="QMD34" s="672"/>
      <c r="QME34" s="672"/>
      <c r="QMF34" s="672"/>
      <c r="QMG34" s="672"/>
      <c r="QMH34" s="672"/>
      <c r="QMI34" s="672"/>
      <c r="QMJ34" s="672"/>
      <c r="QMK34" s="672"/>
      <c r="QML34" s="672"/>
      <c r="QMM34" s="672"/>
      <c r="QMN34" s="672"/>
      <c r="QMO34" s="672"/>
      <c r="QMP34" s="672"/>
      <c r="QMQ34" s="672"/>
      <c r="QMR34" s="672"/>
      <c r="QMS34" s="672"/>
      <c r="QMT34" s="672"/>
      <c r="QMU34" s="672"/>
      <c r="QMV34" s="672"/>
      <c r="QMW34" s="672"/>
      <c r="QMX34" s="672"/>
      <c r="QMY34" s="672"/>
      <c r="QMZ34" s="672"/>
      <c r="QNA34" s="672"/>
      <c r="QNB34" s="672"/>
      <c r="QNC34" s="672"/>
      <c r="QND34" s="672"/>
      <c r="QNE34" s="672"/>
      <c r="QNF34" s="672"/>
      <c r="QNG34" s="672"/>
      <c r="QNH34" s="672"/>
      <c r="QNI34" s="672"/>
      <c r="QNJ34" s="672"/>
      <c r="QNK34" s="672"/>
      <c r="QNL34" s="672"/>
      <c r="QNM34" s="672"/>
      <c r="QNN34" s="672"/>
      <c r="QNO34" s="672"/>
      <c r="QNP34" s="672"/>
      <c r="QNQ34" s="672"/>
      <c r="QNR34" s="672"/>
      <c r="QNS34" s="672"/>
      <c r="QNT34" s="672"/>
      <c r="QNU34" s="672"/>
      <c r="QNV34" s="672"/>
      <c r="QNW34" s="672"/>
      <c r="QNX34" s="672"/>
      <c r="QNY34" s="672"/>
      <c r="QNZ34" s="672"/>
      <c r="QOA34" s="672"/>
      <c r="QOB34" s="672"/>
      <c r="QOC34" s="672"/>
      <c r="QOD34" s="672"/>
      <c r="QOE34" s="672"/>
      <c r="QOF34" s="672"/>
      <c r="QOG34" s="672"/>
      <c r="QOH34" s="672"/>
      <c r="QOI34" s="672"/>
      <c r="QOJ34" s="672"/>
      <c r="QOK34" s="672"/>
      <c r="QOL34" s="672"/>
      <c r="QOM34" s="672"/>
      <c r="QON34" s="672"/>
      <c r="QOO34" s="672"/>
      <c r="QOP34" s="672"/>
      <c r="QOQ34" s="672"/>
      <c r="QOR34" s="672"/>
      <c r="QOS34" s="672"/>
      <c r="QOT34" s="672"/>
      <c r="QOU34" s="672"/>
      <c r="QOV34" s="672"/>
      <c r="QOW34" s="672"/>
      <c r="QOX34" s="672"/>
      <c r="QOY34" s="672"/>
      <c r="QOZ34" s="672"/>
      <c r="QPA34" s="672"/>
      <c r="QPB34" s="672"/>
      <c r="QPC34" s="672"/>
      <c r="QPD34" s="672"/>
      <c r="QPE34" s="672"/>
      <c r="QPF34" s="672"/>
      <c r="QPG34" s="672"/>
      <c r="QPH34" s="672"/>
      <c r="QPI34" s="672"/>
      <c r="QPJ34" s="672"/>
      <c r="QPK34" s="672"/>
      <c r="QPL34" s="672"/>
      <c r="QPM34" s="672"/>
      <c r="QPN34" s="672"/>
      <c r="QPO34" s="672"/>
      <c r="QPP34" s="672"/>
      <c r="QPQ34" s="672"/>
      <c r="QPR34" s="672"/>
      <c r="QPS34" s="672"/>
      <c r="QPT34" s="672"/>
      <c r="QPU34" s="672"/>
      <c r="QPV34" s="672"/>
      <c r="QPW34" s="672"/>
      <c r="QPX34" s="672"/>
      <c r="QPY34" s="672"/>
      <c r="QPZ34" s="672"/>
      <c r="QQA34" s="672"/>
      <c r="QQB34" s="672"/>
      <c r="QQC34" s="672"/>
      <c r="QQD34" s="672"/>
      <c r="QQE34" s="672"/>
      <c r="QQF34" s="672"/>
      <c r="QQG34" s="672"/>
      <c r="QQH34" s="672"/>
      <c r="QQI34" s="672"/>
      <c r="QQJ34" s="672"/>
      <c r="QQK34" s="672"/>
      <c r="QQL34" s="672"/>
      <c r="QQM34" s="672"/>
      <c r="QQN34" s="672"/>
      <c r="QQO34" s="672"/>
      <c r="QQP34" s="672"/>
      <c r="QQQ34" s="672"/>
      <c r="QQR34" s="672"/>
      <c r="QQS34" s="672"/>
      <c r="QQT34" s="672"/>
      <c r="QQU34" s="672"/>
      <c r="QQV34" s="672"/>
      <c r="QQW34" s="672"/>
      <c r="QQX34" s="672"/>
      <c r="QQY34" s="672"/>
      <c r="QQZ34" s="672"/>
      <c r="QRA34" s="672"/>
      <c r="QRB34" s="672"/>
      <c r="QRC34" s="672"/>
      <c r="QRD34" s="672"/>
      <c r="QRE34" s="672"/>
      <c r="QRF34" s="672"/>
      <c r="QRG34" s="672"/>
      <c r="QRH34" s="672"/>
      <c r="QRI34" s="672"/>
      <c r="QRJ34" s="672"/>
      <c r="QRK34" s="672"/>
      <c r="QRL34" s="672"/>
      <c r="QRM34" s="672"/>
      <c r="QRN34" s="672"/>
      <c r="QRO34" s="672"/>
      <c r="QRP34" s="672"/>
      <c r="QRQ34" s="672"/>
      <c r="QRR34" s="672"/>
      <c r="QRS34" s="672"/>
      <c r="QRT34" s="672"/>
      <c r="QRU34" s="672"/>
      <c r="QRV34" s="672"/>
      <c r="QRW34" s="672"/>
      <c r="QRX34" s="672"/>
      <c r="QRY34" s="672"/>
      <c r="QRZ34" s="672"/>
      <c r="QSA34" s="672"/>
      <c r="QSB34" s="672"/>
      <c r="QSC34" s="672"/>
      <c r="QSD34" s="672"/>
      <c r="QSE34" s="672"/>
      <c r="QSF34" s="672"/>
      <c r="QSG34" s="672"/>
      <c r="QSH34" s="672"/>
      <c r="QSI34" s="672"/>
      <c r="QSJ34" s="672"/>
      <c r="QSK34" s="672"/>
      <c r="QSL34" s="672"/>
      <c r="QSM34" s="672"/>
      <c r="QSN34" s="672"/>
      <c r="QSO34" s="672"/>
      <c r="QSP34" s="672"/>
      <c r="QSQ34" s="672"/>
      <c r="QSR34" s="672"/>
      <c r="QSS34" s="672"/>
      <c r="QST34" s="672"/>
      <c r="QSU34" s="672"/>
      <c r="QSV34" s="672"/>
      <c r="QSW34" s="672"/>
      <c r="QSX34" s="672"/>
      <c r="QSY34" s="672"/>
      <c r="QSZ34" s="672"/>
      <c r="QTA34" s="672"/>
      <c r="QTB34" s="672"/>
      <c r="QTC34" s="672"/>
      <c r="QTD34" s="672"/>
      <c r="QTE34" s="672"/>
      <c r="QTF34" s="672"/>
      <c r="QTG34" s="672"/>
      <c r="QTH34" s="672"/>
      <c r="QTI34" s="672"/>
      <c r="QTJ34" s="672"/>
      <c r="QTK34" s="672"/>
      <c r="QTL34" s="672"/>
      <c r="QTM34" s="672"/>
      <c r="QTN34" s="672"/>
      <c r="QTO34" s="672"/>
      <c r="QTP34" s="672"/>
      <c r="QTQ34" s="672"/>
      <c r="QTR34" s="672"/>
      <c r="QTS34" s="672"/>
      <c r="QTT34" s="672"/>
      <c r="QTU34" s="672"/>
      <c r="QTV34" s="672"/>
      <c r="QTW34" s="672"/>
      <c r="QTX34" s="672"/>
      <c r="QTY34" s="672"/>
      <c r="QTZ34" s="672"/>
      <c r="QUA34" s="672"/>
      <c r="QUB34" s="672"/>
      <c r="QUC34" s="672"/>
      <c r="QUD34" s="672"/>
      <c r="QUE34" s="672"/>
      <c r="QUF34" s="672"/>
      <c r="QUG34" s="672"/>
      <c r="QUH34" s="672"/>
      <c r="QUI34" s="672"/>
      <c r="QUJ34" s="672"/>
      <c r="QUK34" s="672"/>
      <c r="QUL34" s="672"/>
      <c r="QUM34" s="672"/>
      <c r="QUN34" s="672"/>
      <c r="QUO34" s="672"/>
      <c r="QUP34" s="672"/>
      <c r="QUQ34" s="672"/>
      <c r="QUR34" s="672"/>
      <c r="QUS34" s="672"/>
      <c r="QUT34" s="672"/>
      <c r="QUU34" s="672"/>
      <c r="QUV34" s="672"/>
      <c r="QUW34" s="672"/>
      <c r="QUX34" s="672"/>
      <c r="QUY34" s="672"/>
      <c r="QUZ34" s="672"/>
      <c r="QVA34" s="672"/>
      <c r="QVB34" s="672"/>
      <c r="QVC34" s="672"/>
      <c r="QVD34" s="672"/>
      <c r="QVE34" s="672"/>
      <c r="QVF34" s="672"/>
      <c r="QVG34" s="672"/>
      <c r="QVH34" s="672"/>
      <c r="QVI34" s="672"/>
      <c r="QVJ34" s="672"/>
      <c r="QVK34" s="672"/>
      <c r="QVL34" s="672"/>
      <c r="QVM34" s="672"/>
      <c r="QVN34" s="672"/>
      <c r="QVO34" s="672"/>
      <c r="QVP34" s="672"/>
      <c r="QVQ34" s="672"/>
      <c r="QVR34" s="672"/>
      <c r="QVS34" s="672"/>
      <c r="QVT34" s="672"/>
      <c r="QVU34" s="672"/>
      <c r="QVV34" s="672"/>
      <c r="QVW34" s="672"/>
      <c r="QVX34" s="672"/>
      <c r="QVY34" s="672"/>
      <c r="QVZ34" s="672"/>
      <c r="QWA34" s="672"/>
      <c r="QWB34" s="672"/>
      <c r="QWC34" s="672"/>
      <c r="QWD34" s="672"/>
      <c r="QWE34" s="672"/>
      <c r="QWF34" s="672"/>
      <c r="QWG34" s="672"/>
      <c r="QWH34" s="672"/>
      <c r="QWI34" s="672"/>
      <c r="QWJ34" s="672"/>
      <c r="QWK34" s="672"/>
      <c r="QWL34" s="672"/>
      <c r="QWM34" s="672"/>
      <c r="QWN34" s="672"/>
      <c r="QWO34" s="672"/>
      <c r="QWP34" s="672"/>
      <c r="QWQ34" s="672"/>
      <c r="QWR34" s="672"/>
      <c r="QWS34" s="672"/>
      <c r="QWT34" s="672"/>
      <c r="QWU34" s="672"/>
      <c r="QWV34" s="672"/>
      <c r="QWW34" s="672"/>
      <c r="QWX34" s="672"/>
      <c r="QWY34" s="672"/>
      <c r="QWZ34" s="672"/>
      <c r="QXA34" s="672"/>
      <c r="QXB34" s="672"/>
      <c r="QXC34" s="672"/>
      <c r="QXD34" s="672"/>
      <c r="QXE34" s="672"/>
      <c r="QXF34" s="672"/>
      <c r="QXG34" s="672"/>
      <c r="QXH34" s="672"/>
      <c r="QXI34" s="672"/>
      <c r="QXJ34" s="672"/>
      <c r="QXK34" s="672"/>
      <c r="QXL34" s="672"/>
      <c r="QXM34" s="672"/>
      <c r="QXN34" s="672"/>
      <c r="QXO34" s="672"/>
      <c r="QXP34" s="672"/>
      <c r="QXQ34" s="672"/>
      <c r="QXR34" s="672"/>
      <c r="QXS34" s="672"/>
      <c r="QXT34" s="672"/>
      <c r="QXU34" s="672"/>
      <c r="QXV34" s="672"/>
      <c r="QXW34" s="672"/>
      <c r="QXX34" s="672"/>
      <c r="QXY34" s="672"/>
      <c r="QXZ34" s="672"/>
      <c r="QYA34" s="672"/>
      <c r="QYB34" s="672"/>
      <c r="QYC34" s="672"/>
      <c r="QYD34" s="672"/>
      <c r="QYE34" s="672"/>
      <c r="QYF34" s="672"/>
      <c r="QYG34" s="672"/>
      <c r="QYH34" s="672"/>
      <c r="QYI34" s="672"/>
      <c r="QYJ34" s="672"/>
      <c r="QYK34" s="672"/>
      <c r="QYL34" s="672"/>
      <c r="QYM34" s="672"/>
      <c r="QYN34" s="672"/>
      <c r="QYO34" s="672"/>
      <c r="QYP34" s="672"/>
      <c r="QYQ34" s="672"/>
      <c r="QYR34" s="672"/>
      <c r="QYS34" s="672"/>
      <c r="QYT34" s="672"/>
      <c r="QYU34" s="672"/>
      <c r="QYV34" s="672"/>
      <c r="QYW34" s="672"/>
      <c r="QYX34" s="672"/>
      <c r="QYY34" s="672"/>
      <c r="QYZ34" s="672"/>
      <c r="QZA34" s="672"/>
      <c r="QZB34" s="672"/>
      <c r="QZC34" s="672"/>
      <c r="QZD34" s="672"/>
      <c r="QZE34" s="672"/>
      <c r="QZF34" s="672"/>
      <c r="QZG34" s="672"/>
      <c r="QZH34" s="672"/>
      <c r="QZI34" s="672"/>
      <c r="QZJ34" s="672"/>
      <c r="QZK34" s="672"/>
      <c r="QZL34" s="672"/>
      <c r="QZM34" s="672"/>
      <c r="QZN34" s="672"/>
      <c r="QZO34" s="672"/>
      <c r="QZP34" s="672"/>
      <c r="QZQ34" s="672"/>
      <c r="QZR34" s="672"/>
      <c r="QZS34" s="672"/>
      <c r="QZT34" s="672"/>
      <c r="QZU34" s="672"/>
      <c r="QZV34" s="672"/>
      <c r="QZW34" s="672"/>
      <c r="QZX34" s="672"/>
      <c r="QZY34" s="672"/>
      <c r="QZZ34" s="672"/>
      <c r="RAA34" s="672"/>
      <c r="RAB34" s="672"/>
      <c r="RAC34" s="672"/>
      <c r="RAD34" s="672"/>
      <c r="RAE34" s="672"/>
      <c r="RAF34" s="672"/>
      <c r="RAG34" s="672"/>
      <c r="RAH34" s="672"/>
      <c r="RAI34" s="672"/>
      <c r="RAJ34" s="672"/>
      <c r="RAK34" s="672"/>
      <c r="RAL34" s="672"/>
      <c r="RAM34" s="672"/>
      <c r="RAN34" s="672"/>
      <c r="RAO34" s="672"/>
      <c r="RAP34" s="672"/>
      <c r="RAQ34" s="672"/>
      <c r="RAR34" s="672"/>
      <c r="RAS34" s="672"/>
      <c r="RAT34" s="672"/>
      <c r="RAU34" s="672"/>
      <c r="RAV34" s="672"/>
      <c r="RAW34" s="672"/>
      <c r="RAX34" s="672"/>
      <c r="RAY34" s="672"/>
      <c r="RAZ34" s="672"/>
      <c r="RBA34" s="672"/>
      <c r="RBB34" s="672"/>
      <c r="RBC34" s="672"/>
      <c r="RBD34" s="672"/>
      <c r="RBE34" s="672"/>
      <c r="RBF34" s="672"/>
      <c r="RBG34" s="672"/>
      <c r="RBH34" s="672"/>
      <c r="RBI34" s="672"/>
      <c r="RBJ34" s="672"/>
      <c r="RBK34" s="672"/>
      <c r="RBL34" s="672"/>
      <c r="RBM34" s="672"/>
      <c r="RBN34" s="672"/>
      <c r="RBO34" s="672"/>
      <c r="RBP34" s="672"/>
      <c r="RBQ34" s="672"/>
      <c r="RBR34" s="672"/>
      <c r="RBS34" s="672"/>
      <c r="RBT34" s="672"/>
      <c r="RBU34" s="672"/>
      <c r="RBV34" s="672"/>
      <c r="RBW34" s="672"/>
      <c r="RBX34" s="672"/>
      <c r="RBY34" s="672"/>
      <c r="RBZ34" s="672"/>
      <c r="RCA34" s="672"/>
      <c r="RCB34" s="672"/>
      <c r="RCC34" s="672"/>
      <c r="RCD34" s="672"/>
      <c r="RCE34" s="672"/>
      <c r="RCF34" s="672"/>
      <c r="RCG34" s="672"/>
      <c r="RCH34" s="672"/>
      <c r="RCI34" s="672"/>
      <c r="RCJ34" s="672"/>
      <c r="RCK34" s="672"/>
      <c r="RCL34" s="672"/>
      <c r="RCM34" s="672"/>
      <c r="RCN34" s="672"/>
      <c r="RCO34" s="672"/>
      <c r="RCP34" s="672"/>
      <c r="RCQ34" s="672"/>
      <c r="RCR34" s="672"/>
      <c r="RCS34" s="672"/>
      <c r="RCT34" s="672"/>
      <c r="RCU34" s="672"/>
      <c r="RCV34" s="672"/>
      <c r="RCW34" s="672"/>
      <c r="RCX34" s="672"/>
      <c r="RCY34" s="672"/>
      <c r="RCZ34" s="672"/>
      <c r="RDA34" s="672"/>
      <c r="RDB34" s="672"/>
      <c r="RDC34" s="672"/>
      <c r="RDD34" s="672"/>
      <c r="RDE34" s="672"/>
      <c r="RDF34" s="672"/>
      <c r="RDG34" s="672"/>
      <c r="RDH34" s="672"/>
      <c r="RDI34" s="672"/>
      <c r="RDJ34" s="672"/>
      <c r="RDK34" s="672"/>
      <c r="RDL34" s="672"/>
      <c r="RDM34" s="672"/>
      <c r="RDN34" s="672"/>
      <c r="RDO34" s="672"/>
      <c r="RDP34" s="672"/>
      <c r="RDQ34" s="672"/>
      <c r="RDR34" s="672"/>
      <c r="RDS34" s="672"/>
      <c r="RDT34" s="672"/>
      <c r="RDU34" s="672"/>
      <c r="RDV34" s="672"/>
      <c r="RDW34" s="672"/>
      <c r="RDX34" s="672"/>
      <c r="RDY34" s="672"/>
      <c r="RDZ34" s="672"/>
      <c r="REA34" s="672"/>
      <c r="REB34" s="672"/>
      <c r="REC34" s="672"/>
      <c r="RED34" s="672"/>
      <c r="REE34" s="672"/>
      <c r="REF34" s="672"/>
      <c r="REG34" s="672"/>
      <c r="REH34" s="672"/>
      <c r="REI34" s="672"/>
      <c r="REJ34" s="672"/>
      <c r="REK34" s="672"/>
      <c r="REL34" s="672"/>
      <c r="REM34" s="672"/>
      <c r="REN34" s="672"/>
      <c r="REO34" s="672"/>
      <c r="REP34" s="672"/>
      <c r="REQ34" s="672"/>
      <c r="RER34" s="672"/>
      <c r="RES34" s="672"/>
      <c r="RET34" s="672"/>
      <c r="REU34" s="672"/>
      <c r="REV34" s="672"/>
      <c r="REW34" s="672"/>
      <c r="REX34" s="672"/>
      <c r="REY34" s="672"/>
      <c r="REZ34" s="672"/>
      <c r="RFA34" s="672"/>
      <c r="RFB34" s="672"/>
      <c r="RFC34" s="672"/>
      <c r="RFD34" s="672"/>
      <c r="RFE34" s="672"/>
      <c r="RFF34" s="672"/>
      <c r="RFG34" s="672"/>
      <c r="RFH34" s="672"/>
      <c r="RFI34" s="672"/>
      <c r="RFJ34" s="672"/>
      <c r="RFK34" s="672"/>
      <c r="RFL34" s="672"/>
      <c r="RFM34" s="672"/>
      <c r="RFN34" s="672"/>
      <c r="RFO34" s="672"/>
      <c r="RFP34" s="672"/>
      <c r="RFQ34" s="672"/>
      <c r="RFR34" s="672"/>
      <c r="RFS34" s="672"/>
      <c r="RFT34" s="672"/>
      <c r="RFU34" s="672"/>
      <c r="RFV34" s="672"/>
      <c r="RFW34" s="672"/>
      <c r="RFX34" s="672"/>
      <c r="RFY34" s="672"/>
      <c r="RFZ34" s="672"/>
      <c r="RGA34" s="672"/>
      <c r="RGB34" s="672"/>
      <c r="RGC34" s="672"/>
      <c r="RGD34" s="672"/>
      <c r="RGE34" s="672"/>
      <c r="RGF34" s="672"/>
      <c r="RGG34" s="672"/>
      <c r="RGH34" s="672"/>
      <c r="RGI34" s="672"/>
      <c r="RGJ34" s="672"/>
      <c r="RGK34" s="672"/>
      <c r="RGL34" s="672"/>
      <c r="RGM34" s="672"/>
      <c r="RGN34" s="672"/>
      <c r="RGO34" s="672"/>
      <c r="RGP34" s="672"/>
      <c r="RGQ34" s="672"/>
      <c r="RGR34" s="672"/>
      <c r="RGS34" s="672"/>
      <c r="RGT34" s="672"/>
      <c r="RGU34" s="672"/>
      <c r="RGV34" s="672"/>
      <c r="RGW34" s="672"/>
      <c r="RGX34" s="672"/>
      <c r="RGY34" s="672"/>
      <c r="RGZ34" s="672"/>
      <c r="RHA34" s="672"/>
      <c r="RHB34" s="672"/>
      <c r="RHC34" s="672"/>
      <c r="RHD34" s="672"/>
      <c r="RHE34" s="672"/>
      <c r="RHF34" s="672"/>
      <c r="RHG34" s="672"/>
      <c r="RHH34" s="672"/>
      <c r="RHI34" s="672"/>
      <c r="RHJ34" s="672"/>
      <c r="RHK34" s="672"/>
      <c r="RHL34" s="672"/>
      <c r="RHM34" s="672"/>
      <c r="RHN34" s="672"/>
      <c r="RHO34" s="672"/>
      <c r="RHP34" s="672"/>
      <c r="RHQ34" s="672"/>
      <c r="RHR34" s="672"/>
      <c r="RHS34" s="672"/>
      <c r="RHT34" s="672"/>
      <c r="RHU34" s="672"/>
      <c r="RHV34" s="672"/>
      <c r="RHW34" s="672"/>
      <c r="RHX34" s="672"/>
      <c r="RHY34" s="672"/>
      <c r="RHZ34" s="672"/>
      <c r="RIA34" s="672"/>
      <c r="RIB34" s="672"/>
      <c r="RIC34" s="672"/>
      <c r="RID34" s="672"/>
      <c r="RIE34" s="672"/>
      <c r="RIF34" s="672"/>
      <c r="RIG34" s="672"/>
      <c r="RIH34" s="672"/>
      <c r="RII34" s="672"/>
      <c r="RIJ34" s="672"/>
      <c r="RIK34" s="672"/>
      <c r="RIL34" s="672"/>
      <c r="RIM34" s="672"/>
      <c r="RIN34" s="672"/>
      <c r="RIO34" s="672"/>
      <c r="RIP34" s="672"/>
      <c r="RIQ34" s="672"/>
      <c r="RIR34" s="672"/>
      <c r="RIS34" s="672"/>
      <c r="RIT34" s="672"/>
      <c r="RIU34" s="672"/>
      <c r="RIV34" s="672"/>
      <c r="RIW34" s="672"/>
      <c r="RIX34" s="672"/>
      <c r="RIY34" s="672"/>
      <c r="RIZ34" s="672"/>
      <c r="RJA34" s="672"/>
      <c r="RJB34" s="672"/>
      <c r="RJC34" s="672"/>
      <c r="RJD34" s="672"/>
      <c r="RJE34" s="672"/>
      <c r="RJF34" s="672"/>
      <c r="RJG34" s="672"/>
      <c r="RJH34" s="672"/>
      <c r="RJI34" s="672"/>
      <c r="RJJ34" s="672"/>
      <c r="RJK34" s="672"/>
      <c r="RJL34" s="672"/>
      <c r="RJM34" s="672"/>
      <c r="RJN34" s="672"/>
      <c r="RJO34" s="672"/>
      <c r="RJP34" s="672"/>
      <c r="RJQ34" s="672"/>
      <c r="RJR34" s="672"/>
      <c r="RJS34" s="672"/>
      <c r="RJT34" s="672"/>
      <c r="RJU34" s="672"/>
      <c r="RJV34" s="672"/>
      <c r="RJW34" s="672"/>
      <c r="RJX34" s="672"/>
      <c r="RJY34" s="672"/>
      <c r="RJZ34" s="672"/>
      <c r="RKA34" s="672"/>
      <c r="RKB34" s="672"/>
      <c r="RKC34" s="672"/>
      <c r="RKD34" s="672"/>
      <c r="RKE34" s="672"/>
      <c r="RKF34" s="672"/>
      <c r="RKG34" s="672"/>
      <c r="RKH34" s="672"/>
      <c r="RKI34" s="672"/>
      <c r="RKJ34" s="672"/>
      <c r="RKK34" s="672"/>
      <c r="RKL34" s="672"/>
      <c r="RKM34" s="672"/>
      <c r="RKN34" s="672"/>
      <c r="RKO34" s="672"/>
      <c r="RKP34" s="672"/>
      <c r="RKQ34" s="672"/>
      <c r="RKR34" s="672"/>
      <c r="RKS34" s="672"/>
      <c r="RKT34" s="672"/>
      <c r="RKU34" s="672"/>
      <c r="RKV34" s="672"/>
      <c r="RKW34" s="672"/>
      <c r="RKX34" s="672"/>
      <c r="RKY34" s="672"/>
      <c r="RKZ34" s="672"/>
      <c r="RLA34" s="672"/>
      <c r="RLB34" s="672"/>
      <c r="RLC34" s="672"/>
      <c r="RLD34" s="672"/>
      <c r="RLE34" s="672"/>
      <c r="RLF34" s="672"/>
      <c r="RLG34" s="672"/>
      <c r="RLH34" s="672"/>
      <c r="RLI34" s="672"/>
      <c r="RLJ34" s="672"/>
      <c r="RLK34" s="672"/>
      <c r="RLL34" s="672"/>
      <c r="RLM34" s="672"/>
      <c r="RLN34" s="672"/>
      <c r="RLO34" s="672"/>
      <c r="RLP34" s="672"/>
      <c r="RLQ34" s="672"/>
      <c r="RLR34" s="672"/>
      <c r="RLS34" s="672"/>
      <c r="RLT34" s="672"/>
      <c r="RLU34" s="672"/>
      <c r="RLV34" s="672"/>
      <c r="RLW34" s="672"/>
      <c r="RLX34" s="672"/>
      <c r="RLY34" s="672"/>
      <c r="RLZ34" s="672"/>
      <c r="RMA34" s="672"/>
      <c r="RMB34" s="672"/>
      <c r="RMC34" s="672"/>
      <c r="RMD34" s="672"/>
      <c r="RME34" s="672"/>
      <c r="RMF34" s="672"/>
      <c r="RMG34" s="672"/>
      <c r="RMH34" s="672"/>
      <c r="RMI34" s="672"/>
      <c r="RMJ34" s="672"/>
      <c r="RMK34" s="672"/>
      <c r="RML34" s="672"/>
      <c r="RMM34" s="672"/>
      <c r="RMN34" s="672"/>
      <c r="RMO34" s="672"/>
      <c r="RMP34" s="672"/>
      <c r="RMQ34" s="672"/>
      <c r="RMR34" s="672"/>
      <c r="RMS34" s="672"/>
      <c r="RMT34" s="672"/>
      <c r="RMU34" s="672"/>
      <c r="RMV34" s="672"/>
      <c r="RMW34" s="672"/>
      <c r="RMX34" s="672"/>
      <c r="RMY34" s="672"/>
      <c r="RMZ34" s="672"/>
      <c r="RNA34" s="672"/>
      <c r="RNB34" s="672"/>
      <c r="RNC34" s="672"/>
      <c r="RND34" s="672"/>
      <c r="RNE34" s="672"/>
      <c r="RNF34" s="672"/>
      <c r="RNG34" s="672"/>
      <c r="RNH34" s="672"/>
      <c r="RNI34" s="672"/>
      <c r="RNJ34" s="672"/>
      <c r="RNK34" s="672"/>
      <c r="RNL34" s="672"/>
      <c r="RNM34" s="672"/>
      <c r="RNN34" s="672"/>
      <c r="RNO34" s="672"/>
      <c r="RNP34" s="672"/>
      <c r="RNQ34" s="672"/>
      <c r="RNR34" s="672"/>
      <c r="RNS34" s="672"/>
      <c r="RNT34" s="672"/>
      <c r="RNU34" s="672"/>
      <c r="RNV34" s="672"/>
      <c r="RNW34" s="672"/>
      <c r="RNX34" s="672"/>
      <c r="RNY34" s="672"/>
      <c r="RNZ34" s="672"/>
      <c r="ROA34" s="672"/>
      <c r="ROB34" s="672"/>
      <c r="ROC34" s="672"/>
      <c r="ROD34" s="672"/>
      <c r="ROE34" s="672"/>
      <c r="ROF34" s="672"/>
      <c r="ROG34" s="672"/>
      <c r="ROH34" s="672"/>
      <c r="ROI34" s="672"/>
      <c r="ROJ34" s="672"/>
      <c r="ROK34" s="672"/>
      <c r="ROL34" s="672"/>
      <c r="ROM34" s="672"/>
      <c r="RON34" s="672"/>
      <c r="ROO34" s="672"/>
      <c r="ROP34" s="672"/>
      <c r="ROQ34" s="672"/>
      <c r="ROR34" s="672"/>
      <c r="ROS34" s="672"/>
      <c r="ROT34" s="672"/>
      <c r="ROU34" s="672"/>
      <c r="ROV34" s="672"/>
      <c r="ROW34" s="672"/>
      <c r="ROX34" s="672"/>
      <c r="ROY34" s="672"/>
      <c r="ROZ34" s="672"/>
      <c r="RPA34" s="672"/>
      <c r="RPB34" s="672"/>
      <c r="RPC34" s="672"/>
      <c r="RPD34" s="672"/>
      <c r="RPE34" s="672"/>
      <c r="RPF34" s="672"/>
      <c r="RPG34" s="672"/>
      <c r="RPH34" s="672"/>
      <c r="RPI34" s="672"/>
      <c r="RPJ34" s="672"/>
      <c r="RPK34" s="672"/>
      <c r="RPL34" s="672"/>
      <c r="RPM34" s="672"/>
      <c r="RPN34" s="672"/>
      <c r="RPO34" s="672"/>
      <c r="RPP34" s="672"/>
      <c r="RPQ34" s="672"/>
      <c r="RPR34" s="672"/>
      <c r="RPS34" s="672"/>
      <c r="RPT34" s="672"/>
      <c r="RPU34" s="672"/>
      <c r="RPV34" s="672"/>
      <c r="RPW34" s="672"/>
      <c r="RPX34" s="672"/>
      <c r="RPY34" s="672"/>
      <c r="RPZ34" s="672"/>
      <c r="RQA34" s="672"/>
      <c r="RQB34" s="672"/>
      <c r="RQC34" s="672"/>
      <c r="RQD34" s="672"/>
      <c r="RQE34" s="672"/>
      <c r="RQF34" s="672"/>
      <c r="RQG34" s="672"/>
      <c r="RQH34" s="672"/>
      <c r="RQI34" s="672"/>
      <c r="RQJ34" s="672"/>
      <c r="RQK34" s="672"/>
      <c r="RQL34" s="672"/>
      <c r="RQM34" s="672"/>
      <c r="RQN34" s="672"/>
      <c r="RQO34" s="672"/>
      <c r="RQP34" s="672"/>
      <c r="RQQ34" s="672"/>
      <c r="RQR34" s="672"/>
      <c r="RQS34" s="672"/>
      <c r="RQT34" s="672"/>
      <c r="RQU34" s="672"/>
      <c r="RQV34" s="672"/>
      <c r="RQW34" s="672"/>
      <c r="RQX34" s="672"/>
      <c r="RQY34" s="672"/>
      <c r="RQZ34" s="672"/>
      <c r="RRA34" s="672"/>
      <c r="RRB34" s="672"/>
      <c r="RRC34" s="672"/>
      <c r="RRD34" s="672"/>
      <c r="RRE34" s="672"/>
      <c r="RRF34" s="672"/>
      <c r="RRG34" s="672"/>
      <c r="RRH34" s="672"/>
      <c r="RRI34" s="672"/>
      <c r="RRJ34" s="672"/>
      <c r="RRK34" s="672"/>
      <c r="RRL34" s="672"/>
      <c r="RRM34" s="672"/>
      <c r="RRN34" s="672"/>
      <c r="RRO34" s="672"/>
      <c r="RRP34" s="672"/>
      <c r="RRQ34" s="672"/>
      <c r="RRR34" s="672"/>
      <c r="RRS34" s="672"/>
      <c r="RRT34" s="672"/>
      <c r="RRU34" s="672"/>
      <c r="RRV34" s="672"/>
      <c r="RRW34" s="672"/>
      <c r="RRX34" s="672"/>
      <c r="RRY34" s="672"/>
      <c r="RRZ34" s="672"/>
      <c r="RSA34" s="672"/>
      <c r="RSB34" s="672"/>
      <c r="RSC34" s="672"/>
      <c r="RSD34" s="672"/>
      <c r="RSE34" s="672"/>
      <c r="RSF34" s="672"/>
      <c r="RSG34" s="672"/>
      <c r="RSH34" s="672"/>
      <c r="RSI34" s="672"/>
      <c r="RSJ34" s="672"/>
      <c r="RSK34" s="672"/>
      <c r="RSL34" s="672"/>
      <c r="RSM34" s="672"/>
      <c r="RSN34" s="672"/>
      <c r="RSO34" s="672"/>
      <c r="RSP34" s="672"/>
      <c r="RSQ34" s="672"/>
      <c r="RSR34" s="672"/>
      <c r="RSS34" s="672"/>
      <c r="RST34" s="672"/>
      <c r="RSU34" s="672"/>
      <c r="RSV34" s="672"/>
      <c r="RSW34" s="672"/>
      <c r="RSX34" s="672"/>
      <c r="RSY34" s="672"/>
      <c r="RSZ34" s="672"/>
      <c r="RTA34" s="672"/>
      <c r="RTB34" s="672"/>
      <c r="RTC34" s="672"/>
      <c r="RTD34" s="672"/>
      <c r="RTE34" s="672"/>
      <c r="RTF34" s="672"/>
      <c r="RTG34" s="672"/>
      <c r="RTH34" s="672"/>
      <c r="RTI34" s="672"/>
      <c r="RTJ34" s="672"/>
      <c r="RTK34" s="672"/>
      <c r="RTL34" s="672"/>
      <c r="RTM34" s="672"/>
      <c r="RTN34" s="672"/>
      <c r="RTO34" s="672"/>
      <c r="RTP34" s="672"/>
      <c r="RTQ34" s="672"/>
      <c r="RTR34" s="672"/>
      <c r="RTS34" s="672"/>
      <c r="RTT34" s="672"/>
      <c r="RTU34" s="672"/>
      <c r="RTV34" s="672"/>
      <c r="RTW34" s="672"/>
      <c r="RTX34" s="672"/>
      <c r="RTY34" s="672"/>
      <c r="RTZ34" s="672"/>
      <c r="RUA34" s="672"/>
      <c r="RUB34" s="672"/>
      <c r="RUC34" s="672"/>
      <c r="RUD34" s="672"/>
      <c r="RUE34" s="672"/>
      <c r="RUF34" s="672"/>
      <c r="RUG34" s="672"/>
      <c r="RUH34" s="672"/>
      <c r="RUI34" s="672"/>
      <c r="RUJ34" s="672"/>
      <c r="RUK34" s="672"/>
      <c r="RUL34" s="672"/>
      <c r="RUM34" s="672"/>
      <c r="RUN34" s="672"/>
      <c r="RUO34" s="672"/>
      <c r="RUP34" s="672"/>
      <c r="RUQ34" s="672"/>
      <c r="RUR34" s="672"/>
      <c r="RUS34" s="672"/>
      <c r="RUT34" s="672"/>
      <c r="RUU34" s="672"/>
      <c r="RUV34" s="672"/>
      <c r="RUW34" s="672"/>
      <c r="RUX34" s="672"/>
      <c r="RUY34" s="672"/>
      <c r="RUZ34" s="672"/>
      <c r="RVA34" s="672"/>
      <c r="RVB34" s="672"/>
      <c r="RVC34" s="672"/>
      <c r="RVD34" s="672"/>
      <c r="RVE34" s="672"/>
      <c r="RVF34" s="672"/>
      <c r="RVG34" s="672"/>
      <c r="RVH34" s="672"/>
      <c r="RVI34" s="672"/>
      <c r="RVJ34" s="672"/>
      <c r="RVK34" s="672"/>
      <c r="RVL34" s="672"/>
      <c r="RVM34" s="672"/>
      <c r="RVN34" s="672"/>
      <c r="RVO34" s="672"/>
      <c r="RVP34" s="672"/>
      <c r="RVQ34" s="672"/>
      <c r="RVR34" s="672"/>
      <c r="RVS34" s="672"/>
      <c r="RVT34" s="672"/>
      <c r="RVU34" s="672"/>
      <c r="RVV34" s="672"/>
      <c r="RVW34" s="672"/>
      <c r="RVX34" s="672"/>
      <c r="RVY34" s="672"/>
      <c r="RVZ34" s="672"/>
      <c r="RWA34" s="672"/>
      <c r="RWB34" s="672"/>
      <c r="RWC34" s="672"/>
      <c r="RWD34" s="672"/>
      <c r="RWE34" s="672"/>
      <c r="RWF34" s="672"/>
      <c r="RWG34" s="672"/>
      <c r="RWH34" s="672"/>
      <c r="RWI34" s="672"/>
      <c r="RWJ34" s="672"/>
      <c r="RWK34" s="672"/>
      <c r="RWL34" s="672"/>
      <c r="RWM34" s="672"/>
      <c r="RWN34" s="672"/>
      <c r="RWO34" s="672"/>
      <c r="RWP34" s="672"/>
      <c r="RWQ34" s="672"/>
      <c r="RWR34" s="672"/>
      <c r="RWS34" s="672"/>
      <c r="RWT34" s="672"/>
      <c r="RWU34" s="672"/>
      <c r="RWV34" s="672"/>
      <c r="RWW34" s="672"/>
      <c r="RWX34" s="672"/>
      <c r="RWY34" s="672"/>
      <c r="RWZ34" s="672"/>
      <c r="RXA34" s="672"/>
      <c r="RXB34" s="672"/>
      <c r="RXC34" s="672"/>
      <c r="RXD34" s="672"/>
      <c r="RXE34" s="672"/>
      <c r="RXF34" s="672"/>
      <c r="RXG34" s="672"/>
      <c r="RXH34" s="672"/>
      <c r="RXI34" s="672"/>
      <c r="RXJ34" s="672"/>
      <c r="RXK34" s="672"/>
      <c r="RXL34" s="672"/>
      <c r="RXM34" s="672"/>
      <c r="RXN34" s="672"/>
      <c r="RXO34" s="672"/>
      <c r="RXP34" s="672"/>
      <c r="RXQ34" s="672"/>
      <c r="RXR34" s="672"/>
      <c r="RXS34" s="672"/>
      <c r="RXT34" s="672"/>
      <c r="RXU34" s="672"/>
      <c r="RXV34" s="672"/>
      <c r="RXW34" s="672"/>
      <c r="RXX34" s="672"/>
      <c r="RXY34" s="672"/>
      <c r="RXZ34" s="672"/>
      <c r="RYA34" s="672"/>
      <c r="RYB34" s="672"/>
      <c r="RYC34" s="672"/>
      <c r="RYD34" s="672"/>
      <c r="RYE34" s="672"/>
      <c r="RYF34" s="672"/>
      <c r="RYG34" s="672"/>
      <c r="RYH34" s="672"/>
      <c r="RYI34" s="672"/>
      <c r="RYJ34" s="672"/>
      <c r="RYK34" s="672"/>
      <c r="RYL34" s="672"/>
      <c r="RYM34" s="672"/>
      <c r="RYN34" s="672"/>
      <c r="RYO34" s="672"/>
      <c r="RYP34" s="672"/>
      <c r="RYQ34" s="672"/>
      <c r="RYR34" s="672"/>
      <c r="RYS34" s="672"/>
      <c r="RYT34" s="672"/>
      <c r="RYU34" s="672"/>
      <c r="RYV34" s="672"/>
      <c r="RYW34" s="672"/>
      <c r="RYX34" s="672"/>
      <c r="RYY34" s="672"/>
      <c r="RYZ34" s="672"/>
      <c r="RZA34" s="672"/>
      <c r="RZB34" s="672"/>
      <c r="RZC34" s="672"/>
      <c r="RZD34" s="672"/>
      <c r="RZE34" s="672"/>
      <c r="RZF34" s="672"/>
      <c r="RZG34" s="672"/>
      <c r="RZH34" s="672"/>
      <c r="RZI34" s="672"/>
      <c r="RZJ34" s="672"/>
      <c r="RZK34" s="672"/>
      <c r="RZL34" s="672"/>
      <c r="RZM34" s="672"/>
      <c r="RZN34" s="672"/>
      <c r="RZO34" s="672"/>
      <c r="RZP34" s="672"/>
      <c r="RZQ34" s="672"/>
      <c r="RZR34" s="672"/>
      <c r="RZS34" s="672"/>
      <c r="RZT34" s="672"/>
      <c r="RZU34" s="672"/>
      <c r="RZV34" s="672"/>
      <c r="RZW34" s="672"/>
      <c r="RZX34" s="672"/>
      <c r="RZY34" s="672"/>
      <c r="RZZ34" s="672"/>
      <c r="SAA34" s="672"/>
      <c r="SAB34" s="672"/>
      <c r="SAC34" s="672"/>
      <c r="SAD34" s="672"/>
      <c r="SAE34" s="672"/>
      <c r="SAF34" s="672"/>
      <c r="SAG34" s="672"/>
      <c r="SAH34" s="672"/>
      <c r="SAI34" s="672"/>
      <c r="SAJ34" s="672"/>
      <c r="SAK34" s="672"/>
      <c r="SAL34" s="672"/>
      <c r="SAM34" s="672"/>
      <c r="SAN34" s="672"/>
      <c r="SAO34" s="672"/>
      <c r="SAP34" s="672"/>
      <c r="SAQ34" s="672"/>
      <c r="SAR34" s="672"/>
      <c r="SAS34" s="672"/>
      <c r="SAT34" s="672"/>
      <c r="SAU34" s="672"/>
      <c r="SAV34" s="672"/>
      <c r="SAW34" s="672"/>
      <c r="SAX34" s="672"/>
      <c r="SAY34" s="672"/>
      <c r="SAZ34" s="672"/>
      <c r="SBA34" s="672"/>
      <c r="SBB34" s="672"/>
      <c r="SBC34" s="672"/>
      <c r="SBD34" s="672"/>
      <c r="SBE34" s="672"/>
      <c r="SBF34" s="672"/>
      <c r="SBG34" s="672"/>
      <c r="SBH34" s="672"/>
      <c r="SBI34" s="672"/>
      <c r="SBJ34" s="672"/>
      <c r="SBK34" s="672"/>
      <c r="SBL34" s="672"/>
      <c r="SBM34" s="672"/>
      <c r="SBN34" s="672"/>
      <c r="SBO34" s="672"/>
      <c r="SBP34" s="672"/>
      <c r="SBQ34" s="672"/>
      <c r="SBR34" s="672"/>
      <c r="SBS34" s="672"/>
      <c r="SBT34" s="672"/>
      <c r="SBU34" s="672"/>
      <c r="SBV34" s="672"/>
      <c r="SBW34" s="672"/>
      <c r="SBX34" s="672"/>
      <c r="SBY34" s="672"/>
      <c r="SBZ34" s="672"/>
      <c r="SCA34" s="672"/>
      <c r="SCB34" s="672"/>
      <c r="SCC34" s="672"/>
      <c r="SCD34" s="672"/>
      <c r="SCE34" s="672"/>
      <c r="SCF34" s="672"/>
      <c r="SCG34" s="672"/>
      <c r="SCH34" s="672"/>
      <c r="SCI34" s="672"/>
      <c r="SCJ34" s="672"/>
      <c r="SCK34" s="672"/>
      <c r="SCL34" s="672"/>
      <c r="SCM34" s="672"/>
      <c r="SCN34" s="672"/>
      <c r="SCO34" s="672"/>
      <c r="SCP34" s="672"/>
      <c r="SCQ34" s="672"/>
      <c r="SCR34" s="672"/>
      <c r="SCS34" s="672"/>
      <c r="SCT34" s="672"/>
      <c r="SCU34" s="672"/>
      <c r="SCV34" s="672"/>
      <c r="SCW34" s="672"/>
      <c r="SCX34" s="672"/>
      <c r="SCY34" s="672"/>
      <c r="SCZ34" s="672"/>
      <c r="SDA34" s="672"/>
      <c r="SDB34" s="672"/>
      <c r="SDC34" s="672"/>
      <c r="SDD34" s="672"/>
      <c r="SDE34" s="672"/>
      <c r="SDF34" s="672"/>
      <c r="SDG34" s="672"/>
      <c r="SDH34" s="672"/>
      <c r="SDI34" s="672"/>
      <c r="SDJ34" s="672"/>
      <c r="SDK34" s="672"/>
      <c r="SDL34" s="672"/>
      <c r="SDM34" s="672"/>
      <c r="SDN34" s="672"/>
      <c r="SDO34" s="672"/>
      <c r="SDP34" s="672"/>
      <c r="SDQ34" s="672"/>
      <c r="SDR34" s="672"/>
      <c r="SDS34" s="672"/>
      <c r="SDT34" s="672"/>
      <c r="SDU34" s="672"/>
      <c r="SDV34" s="672"/>
      <c r="SDW34" s="672"/>
      <c r="SDX34" s="672"/>
      <c r="SDY34" s="672"/>
      <c r="SDZ34" s="672"/>
      <c r="SEA34" s="672"/>
      <c r="SEB34" s="672"/>
      <c r="SEC34" s="672"/>
      <c r="SED34" s="672"/>
      <c r="SEE34" s="672"/>
      <c r="SEF34" s="672"/>
      <c r="SEG34" s="672"/>
      <c r="SEH34" s="672"/>
      <c r="SEI34" s="672"/>
      <c r="SEJ34" s="672"/>
      <c r="SEK34" s="672"/>
      <c r="SEL34" s="672"/>
      <c r="SEM34" s="672"/>
      <c r="SEN34" s="672"/>
      <c r="SEO34" s="672"/>
      <c r="SEP34" s="672"/>
      <c r="SEQ34" s="672"/>
      <c r="SER34" s="672"/>
      <c r="SES34" s="672"/>
      <c r="SET34" s="672"/>
      <c r="SEU34" s="672"/>
      <c r="SEV34" s="672"/>
      <c r="SEW34" s="672"/>
      <c r="SEX34" s="672"/>
      <c r="SEY34" s="672"/>
      <c r="SEZ34" s="672"/>
      <c r="SFA34" s="672"/>
      <c r="SFB34" s="672"/>
      <c r="SFC34" s="672"/>
      <c r="SFD34" s="672"/>
      <c r="SFE34" s="672"/>
      <c r="SFF34" s="672"/>
      <c r="SFG34" s="672"/>
      <c r="SFH34" s="672"/>
      <c r="SFI34" s="672"/>
      <c r="SFJ34" s="672"/>
      <c r="SFK34" s="672"/>
      <c r="SFL34" s="672"/>
      <c r="SFM34" s="672"/>
      <c r="SFN34" s="672"/>
      <c r="SFO34" s="672"/>
      <c r="SFP34" s="672"/>
      <c r="SFQ34" s="672"/>
      <c r="SFR34" s="672"/>
      <c r="SFS34" s="672"/>
      <c r="SFT34" s="672"/>
      <c r="SFU34" s="672"/>
      <c r="SFV34" s="672"/>
      <c r="SFW34" s="672"/>
      <c r="SFX34" s="672"/>
      <c r="SFY34" s="672"/>
      <c r="SFZ34" s="672"/>
      <c r="SGA34" s="672"/>
      <c r="SGB34" s="672"/>
      <c r="SGC34" s="672"/>
      <c r="SGD34" s="672"/>
      <c r="SGE34" s="672"/>
      <c r="SGF34" s="672"/>
      <c r="SGG34" s="672"/>
      <c r="SGH34" s="672"/>
      <c r="SGI34" s="672"/>
      <c r="SGJ34" s="672"/>
      <c r="SGK34" s="672"/>
      <c r="SGL34" s="672"/>
      <c r="SGM34" s="672"/>
      <c r="SGN34" s="672"/>
      <c r="SGO34" s="672"/>
      <c r="SGP34" s="672"/>
      <c r="SGQ34" s="672"/>
      <c r="SGR34" s="672"/>
      <c r="SGS34" s="672"/>
      <c r="SGT34" s="672"/>
      <c r="SGU34" s="672"/>
      <c r="SGV34" s="672"/>
      <c r="SGW34" s="672"/>
      <c r="SGX34" s="672"/>
      <c r="SGY34" s="672"/>
      <c r="SGZ34" s="672"/>
      <c r="SHA34" s="672"/>
      <c r="SHB34" s="672"/>
      <c r="SHC34" s="672"/>
      <c r="SHD34" s="672"/>
      <c r="SHE34" s="672"/>
      <c r="SHF34" s="672"/>
      <c r="SHG34" s="672"/>
      <c r="SHH34" s="672"/>
      <c r="SHI34" s="672"/>
      <c r="SHJ34" s="672"/>
      <c r="SHK34" s="672"/>
      <c r="SHL34" s="672"/>
      <c r="SHM34" s="672"/>
      <c r="SHN34" s="672"/>
      <c r="SHO34" s="672"/>
      <c r="SHP34" s="672"/>
      <c r="SHQ34" s="672"/>
      <c r="SHR34" s="672"/>
      <c r="SHS34" s="672"/>
      <c r="SHT34" s="672"/>
      <c r="SHU34" s="672"/>
      <c r="SHV34" s="672"/>
      <c r="SHW34" s="672"/>
      <c r="SHX34" s="672"/>
      <c r="SHY34" s="672"/>
      <c r="SHZ34" s="672"/>
      <c r="SIA34" s="672"/>
      <c r="SIB34" s="672"/>
      <c r="SIC34" s="672"/>
      <c r="SID34" s="672"/>
      <c r="SIE34" s="672"/>
      <c r="SIF34" s="672"/>
      <c r="SIG34" s="672"/>
      <c r="SIH34" s="672"/>
      <c r="SII34" s="672"/>
      <c r="SIJ34" s="672"/>
      <c r="SIK34" s="672"/>
      <c r="SIL34" s="672"/>
      <c r="SIM34" s="672"/>
      <c r="SIN34" s="672"/>
      <c r="SIO34" s="672"/>
      <c r="SIP34" s="672"/>
      <c r="SIQ34" s="672"/>
      <c r="SIR34" s="672"/>
      <c r="SIS34" s="672"/>
      <c r="SIT34" s="672"/>
      <c r="SIU34" s="672"/>
      <c r="SIV34" s="672"/>
      <c r="SIW34" s="672"/>
      <c r="SIX34" s="672"/>
      <c r="SIY34" s="672"/>
      <c r="SIZ34" s="672"/>
      <c r="SJA34" s="672"/>
      <c r="SJB34" s="672"/>
      <c r="SJC34" s="672"/>
      <c r="SJD34" s="672"/>
      <c r="SJE34" s="672"/>
      <c r="SJF34" s="672"/>
      <c r="SJG34" s="672"/>
      <c r="SJH34" s="672"/>
      <c r="SJI34" s="672"/>
      <c r="SJJ34" s="672"/>
      <c r="SJK34" s="672"/>
      <c r="SJL34" s="672"/>
      <c r="SJM34" s="672"/>
      <c r="SJN34" s="672"/>
      <c r="SJO34" s="672"/>
      <c r="SJP34" s="672"/>
      <c r="SJQ34" s="672"/>
      <c r="SJR34" s="672"/>
      <c r="SJS34" s="672"/>
      <c r="SJT34" s="672"/>
      <c r="SJU34" s="672"/>
      <c r="SJV34" s="672"/>
      <c r="SJW34" s="672"/>
      <c r="SJX34" s="672"/>
      <c r="SJY34" s="672"/>
      <c r="SJZ34" s="672"/>
      <c r="SKA34" s="672"/>
      <c r="SKB34" s="672"/>
      <c r="SKC34" s="672"/>
      <c r="SKD34" s="672"/>
      <c r="SKE34" s="672"/>
      <c r="SKF34" s="672"/>
      <c r="SKG34" s="672"/>
      <c r="SKH34" s="672"/>
      <c r="SKI34" s="672"/>
      <c r="SKJ34" s="672"/>
      <c r="SKK34" s="672"/>
      <c r="SKL34" s="672"/>
      <c r="SKM34" s="672"/>
      <c r="SKN34" s="672"/>
      <c r="SKO34" s="672"/>
      <c r="SKP34" s="672"/>
      <c r="SKQ34" s="672"/>
      <c r="SKR34" s="672"/>
      <c r="SKS34" s="672"/>
      <c r="SKT34" s="672"/>
      <c r="SKU34" s="672"/>
      <c r="SKV34" s="672"/>
      <c r="SKW34" s="672"/>
      <c r="SKX34" s="672"/>
      <c r="SKY34" s="672"/>
      <c r="SKZ34" s="672"/>
      <c r="SLA34" s="672"/>
      <c r="SLB34" s="672"/>
      <c r="SLC34" s="672"/>
      <c r="SLD34" s="672"/>
      <c r="SLE34" s="672"/>
      <c r="SLF34" s="672"/>
      <c r="SLG34" s="672"/>
      <c r="SLH34" s="672"/>
      <c r="SLI34" s="672"/>
      <c r="SLJ34" s="672"/>
      <c r="SLK34" s="672"/>
      <c r="SLL34" s="672"/>
      <c r="SLM34" s="672"/>
      <c r="SLN34" s="672"/>
      <c r="SLO34" s="672"/>
      <c r="SLP34" s="672"/>
      <c r="SLQ34" s="672"/>
      <c r="SLR34" s="672"/>
      <c r="SLS34" s="672"/>
      <c r="SLT34" s="672"/>
      <c r="SLU34" s="672"/>
      <c r="SLV34" s="672"/>
      <c r="SLW34" s="672"/>
      <c r="SLX34" s="672"/>
      <c r="SLY34" s="672"/>
      <c r="SLZ34" s="672"/>
      <c r="SMA34" s="672"/>
      <c r="SMB34" s="672"/>
      <c r="SMC34" s="672"/>
      <c r="SMD34" s="672"/>
      <c r="SME34" s="672"/>
      <c r="SMF34" s="672"/>
      <c r="SMG34" s="672"/>
      <c r="SMH34" s="672"/>
      <c r="SMI34" s="672"/>
      <c r="SMJ34" s="672"/>
      <c r="SMK34" s="672"/>
      <c r="SML34" s="672"/>
      <c r="SMM34" s="672"/>
      <c r="SMN34" s="672"/>
      <c r="SMO34" s="672"/>
      <c r="SMP34" s="672"/>
      <c r="SMQ34" s="672"/>
      <c r="SMR34" s="672"/>
      <c r="SMS34" s="672"/>
      <c r="SMT34" s="672"/>
      <c r="SMU34" s="672"/>
      <c r="SMV34" s="672"/>
      <c r="SMW34" s="672"/>
      <c r="SMX34" s="672"/>
      <c r="SMY34" s="672"/>
      <c r="SMZ34" s="672"/>
      <c r="SNA34" s="672"/>
      <c r="SNB34" s="672"/>
      <c r="SNC34" s="672"/>
      <c r="SND34" s="672"/>
      <c r="SNE34" s="672"/>
      <c r="SNF34" s="672"/>
      <c r="SNG34" s="672"/>
      <c r="SNH34" s="672"/>
      <c r="SNI34" s="672"/>
      <c r="SNJ34" s="672"/>
      <c r="SNK34" s="672"/>
      <c r="SNL34" s="672"/>
      <c r="SNM34" s="672"/>
      <c r="SNN34" s="672"/>
      <c r="SNO34" s="672"/>
      <c r="SNP34" s="672"/>
      <c r="SNQ34" s="672"/>
      <c r="SNR34" s="672"/>
      <c r="SNS34" s="672"/>
      <c r="SNT34" s="672"/>
      <c r="SNU34" s="672"/>
      <c r="SNV34" s="672"/>
      <c r="SNW34" s="672"/>
      <c r="SNX34" s="672"/>
      <c r="SNY34" s="672"/>
      <c r="SNZ34" s="672"/>
      <c r="SOA34" s="672"/>
      <c r="SOB34" s="672"/>
      <c r="SOC34" s="672"/>
      <c r="SOD34" s="672"/>
      <c r="SOE34" s="672"/>
      <c r="SOF34" s="672"/>
      <c r="SOG34" s="672"/>
      <c r="SOH34" s="672"/>
      <c r="SOI34" s="672"/>
      <c r="SOJ34" s="672"/>
      <c r="SOK34" s="672"/>
      <c r="SOL34" s="672"/>
      <c r="SOM34" s="672"/>
      <c r="SON34" s="672"/>
      <c r="SOO34" s="672"/>
      <c r="SOP34" s="672"/>
      <c r="SOQ34" s="672"/>
      <c r="SOR34" s="672"/>
      <c r="SOS34" s="672"/>
      <c r="SOT34" s="672"/>
      <c r="SOU34" s="672"/>
      <c r="SOV34" s="672"/>
      <c r="SOW34" s="672"/>
      <c r="SOX34" s="672"/>
      <c r="SOY34" s="672"/>
      <c r="SOZ34" s="672"/>
      <c r="SPA34" s="672"/>
      <c r="SPB34" s="672"/>
      <c r="SPC34" s="672"/>
      <c r="SPD34" s="672"/>
      <c r="SPE34" s="672"/>
      <c r="SPF34" s="672"/>
      <c r="SPG34" s="672"/>
      <c r="SPH34" s="672"/>
      <c r="SPI34" s="672"/>
      <c r="SPJ34" s="672"/>
      <c r="SPK34" s="672"/>
      <c r="SPL34" s="672"/>
      <c r="SPM34" s="672"/>
      <c r="SPN34" s="672"/>
      <c r="SPO34" s="672"/>
      <c r="SPP34" s="672"/>
      <c r="SPQ34" s="672"/>
      <c r="SPR34" s="672"/>
      <c r="SPS34" s="672"/>
      <c r="SPT34" s="672"/>
      <c r="SPU34" s="672"/>
      <c r="SPV34" s="672"/>
      <c r="SPW34" s="672"/>
      <c r="SPX34" s="672"/>
      <c r="SPY34" s="672"/>
      <c r="SPZ34" s="672"/>
      <c r="SQA34" s="672"/>
      <c r="SQB34" s="672"/>
      <c r="SQC34" s="672"/>
      <c r="SQD34" s="672"/>
      <c r="SQE34" s="672"/>
      <c r="SQF34" s="672"/>
      <c r="SQG34" s="672"/>
      <c r="SQH34" s="672"/>
      <c r="SQI34" s="672"/>
      <c r="SQJ34" s="672"/>
      <c r="SQK34" s="672"/>
      <c r="SQL34" s="672"/>
      <c r="SQM34" s="672"/>
      <c r="SQN34" s="672"/>
      <c r="SQO34" s="672"/>
      <c r="SQP34" s="672"/>
      <c r="SQQ34" s="672"/>
      <c r="SQR34" s="672"/>
      <c r="SQS34" s="672"/>
      <c r="SQT34" s="672"/>
      <c r="SQU34" s="672"/>
      <c r="SQV34" s="672"/>
      <c r="SQW34" s="672"/>
      <c r="SQX34" s="672"/>
      <c r="SQY34" s="672"/>
      <c r="SQZ34" s="672"/>
      <c r="SRA34" s="672"/>
      <c r="SRB34" s="672"/>
      <c r="SRC34" s="672"/>
      <c r="SRD34" s="672"/>
      <c r="SRE34" s="672"/>
      <c r="SRF34" s="672"/>
      <c r="SRG34" s="672"/>
      <c r="SRH34" s="672"/>
      <c r="SRI34" s="672"/>
      <c r="SRJ34" s="672"/>
      <c r="SRK34" s="672"/>
      <c r="SRL34" s="672"/>
      <c r="SRM34" s="672"/>
      <c r="SRN34" s="672"/>
      <c r="SRO34" s="672"/>
      <c r="SRP34" s="672"/>
      <c r="SRQ34" s="672"/>
      <c r="SRR34" s="672"/>
      <c r="SRS34" s="672"/>
      <c r="SRT34" s="672"/>
      <c r="SRU34" s="672"/>
      <c r="SRV34" s="672"/>
      <c r="SRW34" s="672"/>
      <c r="SRX34" s="672"/>
      <c r="SRY34" s="672"/>
      <c r="SRZ34" s="672"/>
      <c r="SSA34" s="672"/>
      <c r="SSB34" s="672"/>
      <c r="SSC34" s="672"/>
      <c r="SSD34" s="672"/>
      <c r="SSE34" s="672"/>
      <c r="SSF34" s="672"/>
      <c r="SSG34" s="672"/>
      <c r="SSH34" s="672"/>
      <c r="SSI34" s="672"/>
      <c r="SSJ34" s="672"/>
      <c r="SSK34" s="672"/>
      <c r="SSL34" s="672"/>
      <c r="SSM34" s="672"/>
      <c r="SSN34" s="672"/>
      <c r="SSO34" s="672"/>
      <c r="SSP34" s="672"/>
      <c r="SSQ34" s="672"/>
      <c r="SSR34" s="672"/>
      <c r="SSS34" s="672"/>
      <c r="SST34" s="672"/>
      <c r="SSU34" s="672"/>
      <c r="SSV34" s="672"/>
      <c r="SSW34" s="672"/>
      <c r="SSX34" s="672"/>
      <c r="SSY34" s="672"/>
      <c r="SSZ34" s="672"/>
      <c r="STA34" s="672"/>
      <c r="STB34" s="672"/>
      <c r="STC34" s="672"/>
      <c r="STD34" s="672"/>
      <c r="STE34" s="672"/>
      <c r="STF34" s="672"/>
      <c r="STG34" s="672"/>
      <c r="STH34" s="672"/>
      <c r="STI34" s="672"/>
      <c r="STJ34" s="672"/>
      <c r="STK34" s="672"/>
      <c r="STL34" s="672"/>
      <c r="STM34" s="672"/>
      <c r="STN34" s="672"/>
      <c r="STO34" s="672"/>
      <c r="STP34" s="672"/>
      <c r="STQ34" s="672"/>
      <c r="STR34" s="672"/>
      <c r="STS34" s="672"/>
      <c r="STT34" s="672"/>
      <c r="STU34" s="672"/>
      <c r="STV34" s="672"/>
      <c r="STW34" s="672"/>
      <c r="STX34" s="672"/>
      <c r="STY34" s="672"/>
      <c r="STZ34" s="672"/>
      <c r="SUA34" s="672"/>
      <c r="SUB34" s="672"/>
      <c r="SUC34" s="672"/>
      <c r="SUD34" s="672"/>
      <c r="SUE34" s="672"/>
      <c r="SUF34" s="672"/>
      <c r="SUG34" s="672"/>
      <c r="SUH34" s="672"/>
      <c r="SUI34" s="672"/>
      <c r="SUJ34" s="672"/>
      <c r="SUK34" s="672"/>
      <c r="SUL34" s="672"/>
      <c r="SUM34" s="672"/>
      <c r="SUN34" s="672"/>
      <c r="SUO34" s="672"/>
      <c r="SUP34" s="672"/>
      <c r="SUQ34" s="672"/>
      <c r="SUR34" s="672"/>
      <c r="SUS34" s="672"/>
      <c r="SUT34" s="672"/>
      <c r="SUU34" s="672"/>
      <c r="SUV34" s="672"/>
      <c r="SUW34" s="672"/>
      <c r="SUX34" s="672"/>
      <c r="SUY34" s="672"/>
      <c r="SUZ34" s="672"/>
      <c r="SVA34" s="672"/>
      <c r="SVB34" s="672"/>
      <c r="SVC34" s="672"/>
      <c r="SVD34" s="672"/>
      <c r="SVE34" s="672"/>
      <c r="SVF34" s="672"/>
      <c r="SVG34" s="672"/>
      <c r="SVH34" s="672"/>
      <c r="SVI34" s="672"/>
      <c r="SVJ34" s="672"/>
      <c r="SVK34" s="672"/>
      <c r="SVL34" s="672"/>
      <c r="SVM34" s="672"/>
      <c r="SVN34" s="672"/>
      <c r="SVO34" s="672"/>
      <c r="SVP34" s="672"/>
      <c r="SVQ34" s="672"/>
      <c r="SVR34" s="672"/>
      <c r="SVS34" s="672"/>
      <c r="SVT34" s="672"/>
      <c r="SVU34" s="672"/>
      <c r="SVV34" s="672"/>
      <c r="SVW34" s="672"/>
      <c r="SVX34" s="672"/>
      <c r="SVY34" s="672"/>
      <c r="SVZ34" s="672"/>
      <c r="SWA34" s="672"/>
      <c r="SWB34" s="672"/>
      <c r="SWC34" s="672"/>
      <c r="SWD34" s="672"/>
      <c r="SWE34" s="672"/>
      <c r="SWF34" s="672"/>
      <c r="SWG34" s="672"/>
      <c r="SWH34" s="672"/>
      <c r="SWI34" s="672"/>
      <c r="SWJ34" s="672"/>
      <c r="SWK34" s="672"/>
      <c r="SWL34" s="672"/>
      <c r="SWM34" s="672"/>
      <c r="SWN34" s="672"/>
      <c r="SWO34" s="672"/>
      <c r="SWP34" s="672"/>
      <c r="SWQ34" s="672"/>
      <c r="SWR34" s="672"/>
      <c r="SWS34" s="672"/>
      <c r="SWT34" s="672"/>
      <c r="SWU34" s="672"/>
      <c r="SWV34" s="672"/>
      <c r="SWW34" s="672"/>
      <c r="SWX34" s="672"/>
      <c r="SWY34" s="672"/>
      <c r="SWZ34" s="672"/>
      <c r="SXA34" s="672"/>
      <c r="SXB34" s="672"/>
      <c r="SXC34" s="672"/>
      <c r="SXD34" s="672"/>
      <c r="SXE34" s="672"/>
      <c r="SXF34" s="672"/>
      <c r="SXG34" s="672"/>
      <c r="SXH34" s="672"/>
      <c r="SXI34" s="672"/>
      <c r="SXJ34" s="672"/>
      <c r="SXK34" s="672"/>
      <c r="SXL34" s="672"/>
      <c r="SXM34" s="672"/>
      <c r="SXN34" s="672"/>
      <c r="SXO34" s="672"/>
      <c r="SXP34" s="672"/>
      <c r="SXQ34" s="672"/>
      <c r="SXR34" s="672"/>
      <c r="SXS34" s="672"/>
      <c r="SXT34" s="672"/>
      <c r="SXU34" s="672"/>
      <c r="SXV34" s="672"/>
      <c r="SXW34" s="672"/>
      <c r="SXX34" s="672"/>
      <c r="SXY34" s="672"/>
      <c r="SXZ34" s="672"/>
      <c r="SYA34" s="672"/>
      <c r="SYB34" s="672"/>
      <c r="SYC34" s="672"/>
      <c r="SYD34" s="672"/>
      <c r="SYE34" s="672"/>
      <c r="SYF34" s="672"/>
      <c r="SYG34" s="672"/>
      <c r="SYH34" s="672"/>
      <c r="SYI34" s="672"/>
      <c r="SYJ34" s="672"/>
      <c r="SYK34" s="672"/>
      <c r="SYL34" s="672"/>
      <c r="SYM34" s="672"/>
      <c r="SYN34" s="672"/>
      <c r="SYO34" s="672"/>
      <c r="SYP34" s="672"/>
      <c r="SYQ34" s="672"/>
      <c r="SYR34" s="672"/>
      <c r="SYS34" s="672"/>
      <c r="SYT34" s="672"/>
      <c r="SYU34" s="672"/>
      <c r="SYV34" s="672"/>
      <c r="SYW34" s="672"/>
      <c r="SYX34" s="672"/>
      <c r="SYY34" s="672"/>
      <c r="SYZ34" s="672"/>
      <c r="SZA34" s="672"/>
      <c r="SZB34" s="672"/>
      <c r="SZC34" s="672"/>
      <c r="SZD34" s="672"/>
      <c r="SZE34" s="672"/>
      <c r="SZF34" s="672"/>
      <c r="SZG34" s="672"/>
      <c r="SZH34" s="672"/>
      <c r="SZI34" s="672"/>
      <c r="SZJ34" s="672"/>
      <c r="SZK34" s="672"/>
      <c r="SZL34" s="672"/>
      <c r="SZM34" s="672"/>
      <c r="SZN34" s="672"/>
      <c r="SZO34" s="672"/>
      <c r="SZP34" s="672"/>
      <c r="SZQ34" s="672"/>
      <c r="SZR34" s="672"/>
      <c r="SZS34" s="672"/>
      <c r="SZT34" s="672"/>
      <c r="SZU34" s="672"/>
      <c r="SZV34" s="672"/>
      <c r="SZW34" s="672"/>
      <c r="SZX34" s="672"/>
      <c r="SZY34" s="672"/>
      <c r="SZZ34" s="672"/>
      <c r="TAA34" s="672"/>
      <c r="TAB34" s="672"/>
      <c r="TAC34" s="672"/>
      <c r="TAD34" s="672"/>
      <c r="TAE34" s="672"/>
      <c r="TAF34" s="672"/>
      <c r="TAG34" s="672"/>
      <c r="TAH34" s="672"/>
      <c r="TAI34" s="672"/>
      <c r="TAJ34" s="672"/>
      <c r="TAK34" s="672"/>
      <c r="TAL34" s="672"/>
      <c r="TAM34" s="672"/>
      <c r="TAN34" s="672"/>
      <c r="TAO34" s="672"/>
      <c r="TAP34" s="672"/>
      <c r="TAQ34" s="672"/>
      <c r="TAR34" s="672"/>
      <c r="TAS34" s="672"/>
      <c r="TAT34" s="672"/>
      <c r="TAU34" s="672"/>
      <c r="TAV34" s="672"/>
      <c r="TAW34" s="672"/>
      <c r="TAX34" s="672"/>
      <c r="TAY34" s="672"/>
      <c r="TAZ34" s="672"/>
      <c r="TBA34" s="672"/>
      <c r="TBB34" s="672"/>
      <c r="TBC34" s="672"/>
      <c r="TBD34" s="672"/>
      <c r="TBE34" s="672"/>
      <c r="TBF34" s="672"/>
      <c r="TBG34" s="672"/>
      <c r="TBH34" s="672"/>
      <c r="TBI34" s="672"/>
      <c r="TBJ34" s="672"/>
      <c r="TBK34" s="672"/>
      <c r="TBL34" s="672"/>
      <c r="TBM34" s="672"/>
      <c r="TBN34" s="672"/>
      <c r="TBO34" s="672"/>
      <c r="TBP34" s="672"/>
      <c r="TBQ34" s="672"/>
      <c r="TBR34" s="672"/>
      <c r="TBS34" s="672"/>
      <c r="TBT34" s="672"/>
      <c r="TBU34" s="672"/>
      <c r="TBV34" s="672"/>
      <c r="TBW34" s="672"/>
      <c r="TBX34" s="672"/>
      <c r="TBY34" s="672"/>
      <c r="TBZ34" s="672"/>
      <c r="TCA34" s="672"/>
      <c r="TCB34" s="672"/>
      <c r="TCC34" s="672"/>
      <c r="TCD34" s="672"/>
      <c r="TCE34" s="672"/>
      <c r="TCF34" s="672"/>
      <c r="TCG34" s="672"/>
      <c r="TCH34" s="672"/>
      <c r="TCI34" s="672"/>
      <c r="TCJ34" s="672"/>
      <c r="TCK34" s="672"/>
      <c r="TCL34" s="672"/>
      <c r="TCM34" s="672"/>
      <c r="TCN34" s="672"/>
      <c r="TCO34" s="672"/>
      <c r="TCP34" s="672"/>
      <c r="TCQ34" s="672"/>
      <c r="TCR34" s="672"/>
      <c r="TCS34" s="672"/>
      <c r="TCT34" s="672"/>
      <c r="TCU34" s="672"/>
      <c r="TCV34" s="672"/>
      <c r="TCW34" s="672"/>
      <c r="TCX34" s="672"/>
      <c r="TCY34" s="672"/>
      <c r="TCZ34" s="672"/>
      <c r="TDA34" s="672"/>
      <c r="TDB34" s="672"/>
      <c r="TDC34" s="672"/>
      <c r="TDD34" s="672"/>
      <c r="TDE34" s="672"/>
      <c r="TDF34" s="672"/>
      <c r="TDG34" s="672"/>
      <c r="TDH34" s="672"/>
      <c r="TDI34" s="672"/>
      <c r="TDJ34" s="672"/>
      <c r="TDK34" s="672"/>
      <c r="TDL34" s="672"/>
      <c r="TDM34" s="672"/>
      <c r="TDN34" s="672"/>
      <c r="TDO34" s="672"/>
      <c r="TDP34" s="672"/>
      <c r="TDQ34" s="672"/>
      <c r="TDR34" s="672"/>
      <c r="TDS34" s="672"/>
      <c r="TDT34" s="672"/>
      <c r="TDU34" s="672"/>
      <c r="TDV34" s="672"/>
      <c r="TDW34" s="672"/>
      <c r="TDX34" s="672"/>
      <c r="TDY34" s="672"/>
      <c r="TDZ34" s="672"/>
      <c r="TEA34" s="672"/>
      <c r="TEB34" s="672"/>
      <c r="TEC34" s="672"/>
      <c r="TED34" s="672"/>
      <c r="TEE34" s="672"/>
      <c r="TEF34" s="672"/>
      <c r="TEG34" s="672"/>
      <c r="TEH34" s="672"/>
      <c r="TEI34" s="672"/>
      <c r="TEJ34" s="672"/>
      <c r="TEK34" s="672"/>
      <c r="TEL34" s="672"/>
      <c r="TEM34" s="672"/>
      <c r="TEN34" s="672"/>
      <c r="TEO34" s="672"/>
      <c r="TEP34" s="672"/>
      <c r="TEQ34" s="672"/>
      <c r="TER34" s="672"/>
      <c r="TES34" s="672"/>
      <c r="TET34" s="672"/>
      <c r="TEU34" s="672"/>
      <c r="TEV34" s="672"/>
      <c r="TEW34" s="672"/>
      <c r="TEX34" s="672"/>
      <c r="TEY34" s="672"/>
      <c r="TEZ34" s="672"/>
      <c r="TFA34" s="672"/>
      <c r="TFB34" s="672"/>
      <c r="TFC34" s="672"/>
      <c r="TFD34" s="672"/>
      <c r="TFE34" s="672"/>
      <c r="TFF34" s="672"/>
      <c r="TFG34" s="672"/>
      <c r="TFH34" s="672"/>
      <c r="TFI34" s="672"/>
      <c r="TFJ34" s="672"/>
      <c r="TFK34" s="672"/>
      <c r="TFL34" s="672"/>
      <c r="TFM34" s="672"/>
      <c r="TFN34" s="672"/>
      <c r="TFO34" s="672"/>
      <c r="TFP34" s="672"/>
      <c r="TFQ34" s="672"/>
      <c r="TFR34" s="672"/>
      <c r="TFS34" s="672"/>
      <c r="TFT34" s="672"/>
      <c r="TFU34" s="672"/>
      <c r="TFV34" s="672"/>
      <c r="TFW34" s="672"/>
      <c r="TFX34" s="672"/>
      <c r="TFY34" s="672"/>
      <c r="TFZ34" s="672"/>
      <c r="TGA34" s="672"/>
      <c r="TGB34" s="672"/>
      <c r="TGC34" s="672"/>
      <c r="TGD34" s="672"/>
      <c r="TGE34" s="672"/>
      <c r="TGF34" s="672"/>
      <c r="TGG34" s="672"/>
      <c r="TGH34" s="672"/>
      <c r="TGI34" s="672"/>
      <c r="TGJ34" s="672"/>
      <c r="TGK34" s="672"/>
      <c r="TGL34" s="672"/>
      <c r="TGM34" s="672"/>
      <c r="TGN34" s="672"/>
      <c r="TGO34" s="672"/>
      <c r="TGP34" s="672"/>
      <c r="TGQ34" s="672"/>
      <c r="TGR34" s="672"/>
      <c r="TGS34" s="672"/>
      <c r="TGT34" s="672"/>
      <c r="TGU34" s="672"/>
      <c r="TGV34" s="672"/>
      <c r="TGW34" s="672"/>
      <c r="TGX34" s="672"/>
      <c r="TGY34" s="672"/>
      <c r="TGZ34" s="672"/>
      <c r="THA34" s="672"/>
      <c r="THB34" s="672"/>
      <c r="THC34" s="672"/>
      <c r="THD34" s="672"/>
      <c r="THE34" s="672"/>
      <c r="THF34" s="672"/>
      <c r="THG34" s="672"/>
      <c r="THH34" s="672"/>
      <c r="THI34" s="672"/>
      <c r="THJ34" s="672"/>
      <c r="THK34" s="672"/>
      <c r="THL34" s="672"/>
      <c r="THM34" s="672"/>
      <c r="THN34" s="672"/>
      <c r="THO34" s="672"/>
      <c r="THP34" s="672"/>
      <c r="THQ34" s="672"/>
      <c r="THR34" s="672"/>
      <c r="THS34" s="672"/>
      <c r="THT34" s="672"/>
      <c r="THU34" s="672"/>
      <c r="THV34" s="672"/>
      <c r="THW34" s="672"/>
      <c r="THX34" s="672"/>
      <c r="THY34" s="672"/>
      <c r="THZ34" s="672"/>
      <c r="TIA34" s="672"/>
      <c r="TIB34" s="672"/>
      <c r="TIC34" s="672"/>
      <c r="TID34" s="672"/>
      <c r="TIE34" s="672"/>
      <c r="TIF34" s="672"/>
      <c r="TIG34" s="672"/>
      <c r="TIH34" s="672"/>
      <c r="TII34" s="672"/>
      <c r="TIJ34" s="672"/>
      <c r="TIK34" s="672"/>
      <c r="TIL34" s="672"/>
      <c r="TIM34" s="672"/>
      <c r="TIN34" s="672"/>
      <c r="TIO34" s="672"/>
      <c r="TIP34" s="672"/>
      <c r="TIQ34" s="672"/>
      <c r="TIR34" s="672"/>
      <c r="TIS34" s="672"/>
      <c r="TIT34" s="672"/>
      <c r="TIU34" s="672"/>
      <c r="TIV34" s="672"/>
      <c r="TIW34" s="672"/>
      <c r="TIX34" s="672"/>
      <c r="TIY34" s="672"/>
      <c r="TIZ34" s="672"/>
      <c r="TJA34" s="672"/>
      <c r="TJB34" s="672"/>
      <c r="TJC34" s="672"/>
      <c r="TJD34" s="672"/>
      <c r="TJE34" s="672"/>
      <c r="TJF34" s="672"/>
      <c r="TJG34" s="672"/>
      <c r="TJH34" s="672"/>
      <c r="TJI34" s="672"/>
      <c r="TJJ34" s="672"/>
      <c r="TJK34" s="672"/>
      <c r="TJL34" s="672"/>
      <c r="TJM34" s="672"/>
      <c r="TJN34" s="672"/>
      <c r="TJO34" s="672"/>
      <c r="TJP34" s="672"/>
      <c r="TJQ34" s="672"/>
      <c r="TJR34" s="672"/>
      <c r="TJS34" s="672"/>
      <c r="TJT34" s="672"/>
      <c r="TJU34" s="672"/>
      <c r="TJV34" s="672"/>
      <c r="TJW34" s="672"/>
      <c r="TJX34" s="672"/>
      <c r="TJY34" s="672"/>
      <c r="TJZ34" s="672"/>
      <c r="TKA34" s="672"/>
      <c r="TKB34" s="672"/>
      <c r="TKC34" s="672"/>
      <c r="TKD34" s="672"/>
      <c r="TKE34" s="672"/>
      <c r="TKF34" s="672"/>
      <c r="TKG34" s="672"/>
      <c r="TKH34" s="672"/>
      <c r="TKI34" s="672"/>
      <c r="TKJ34" s="672"/>
      <c r="TKK34" s="672"/>
      <c r="TKL34" s="672"/>
      <c r="TKM34" s="672"/>
      <c r="TKN34" s="672"/>
      <c r="TKO34" s="672"/>
      <c r="TKP34" s="672"/>
      <c r="TKQ34" s="672"/>
      <c r="TKR34" s="672"/>
      <c r="TKS34" s="672"/>
      <c r="TKT34" s="672"/>
      <c r="TKU34" s="672"/>
      <c r="TKV34" s="672"/>
      <c r="TKW34" s="672"/>
      <c r="TKX34" s="672"/>
      <c r="TKY34" s="672"/>
      <c r="TKZ34" s="672"/>
      <c r="TLA34" s="672"/>
      <c r="TLB34" s="672"/>
      <c r="TLC34" s="672"/>
      <c r="TLD34" s="672"/>
      <c r="TLE34" s="672"/>
      <c r="TLF34" s="672"/>
      <c r="TLG34" s="672"/>
      <c r="TLH34" s="672"/>
      <c r="TLI34" s="672"/>
      <c r="TLJ34" s="672"/>
      <c r="TLK34" s="672"/>
      <c r="TLL34" s="672"/>
      <c r="TLM34" s="672"/>
      <c r="TLN34" s="672"/>
      <c r="TLO34" s="672"/>
      <c r="TLP34" s="672"/>
      <c r="TLQ34" s="672"/>
      <c r="TLR34" s="672"/>
      <c r="TLS34" s="672"/>
      <c r="TLT34" s="672"/>
      <c r="TLU34" s="672"/>
      <c r="TLV34" s="672"/>
      <c r="TLW34" s="672"/>
      <c r="TLX34" s="672"/>
      <c r="TLY34" s="672"/>
      <c r="TLZ34" s="672"/>
      <c r="TMA34" s="672"/>
      <c r="TMB34" s="672"/>
      <c r="TMC34" s="672"/>
      <c r="TMD34" s="672"/>
      <c r="TME34" s="672"/>
      <c r="TMF34" s="672"/>
      <c r="TMG34" s="672"/>
      <c r="TMH34" s="672"/>
      <c r="TMI34" s="672"/>
      <c r="TMJ34" s="672"/>
      <c r="TMK34" s="672"/>
      <c r="TML34" s="672"/>
      <c r="TMM34" s="672"/>
      <c r="TMN34" s="672"/>
      <c r="TMO34" s="672"/>
      <c r="TMP34" s="672"/>
      <c r="TMQ34" s="672"/>
      <c r="TMR34" s="672"/>
      <c r="TMS34" s="672"/>
      <c r="TMT34" s="672"/>
      <c r="TMU34" s="672"/>
      <c r="TMV34" s="672"/>
      <c r="TMW34" s="672"/>
      <c r="TMX34" s="672"/>
      <c r="TMY34" s="672"/>
      <c r="TMZ34" s="672"/>
      <c r="TNA34" s="672"/>
      <c r="TNB34" s="672"/>
      <c r="TNC34" s="672"/>
      <c r="TND34" s="672"/>
      <c r="TNE34" s="672"/>
      <c r="TNF34" s="672"/>
      <c r="TNG34" s="672"/>
      <c r="TNH34" s="672"/>
      <c r="TNI34" s="672"/>
      <c r="TNJ34" s="672"/>
      <c r="TNK34" s="672"/>
      <c r="TNL34" s="672"/>
      <c r="TNM34" s="672"/>
      <c r="TNN34" s="672"/>
      <c r="TNO34" s="672"/>
      <c r="TNP34" s="672"/>
      <c r="TNQ34" s="672"/>
      <c r="TNR34" s="672"/>
      <c r="TNS34" s="672"/>
      <c r="TNT34" s="672"/>
      <c r="TNU34" s="672"/>
      <c r="TNV34" s="672"/>
      <c r="TNW34" s="672"/>
      <c r="TNX34" s="672"/>
      <c r="TNY34" s="672"/>
      <c r="TNZ34" s="672"/>
      <c r="TOA34" s="672"/>
      <c r="TOB34" s="672"/>
      <c r="TOC34" s="672"/>
      <c r="TOD34" s="672"/>
      <c r="TOE34" s="672"/>
      <c r="TOF34" s="672"/>
      <c r="TOG34" s="672"/>
      <c r="TOH34" s="672"/>
      <c r="TOI34" s="672"/>
      <c r="TOJ34" s="672"/>
      <c r="TOK34" s="672"/>
      <c r="TOL34" s="672"/>
      <c r="TOM34" s="672"/>
      <c r="TON34" s="672"/>
      <c r="TOO34" s="672"/>
      <c r="TOP34" s="672"/>
      <c r="TOQ34" s="672"/>
      <c r="TOR34" s="672"/>
      <c r="TOS34" s="672"/>
      <c r="TOT34" s="672"/>
      <c r="TOU34" s="672"/>
      <c r="TOV34" s="672"/>
      <c r="TOW34" s="672"/>
      <c r="TOX34" s="672"/>
      <c r="TOY34" s="672"/>
      <c r="TOZ34" s="672"/>
      <c r="TPA34" s="672"/>
      <c r="TPB34" s="672"/>
      <c r="TPC34" s="672"/>
      <c r="TPD34" s="672"/>
      <c r="TPE34" s="672"/>
      <c r="TPF34" s="672"/>
      <c r="TPG34" s="672"/>
      <c r="TPH34" s="672"/>
      <c r="TPI34" s="672"/>
      <c r="TPJ34" s="672"/>
      <c r="TPK34" s="672"/>
      <c r="TPL34" s="672"/>
      <c r="TPM34" s="672"/>
      <c r="TPN34" s="672"/>
      <c r="TPO34" s="672"/>
      <c r="TPP34" s="672"/>
      <c r="TPQ34" s="672"/>
      <c r="TPR34" s="672"/>
      <c r="TPS34" s="672"/>
      <c r="TPT34" s="672"/>
      <c r="TPU34" s="672"/>
      <c r="TPV34" s="672"/>
      <c r="TPW34" s="672"/>
      <c r="TPX34" s="672"/>
      <c r="TPY34" s="672"/>
      <c r="TPZ34" s="672"/>
      <c r="TQA34" s="672"/>
      <c r="TQB34" s="672"/>
      <c r="TQC34" s="672"/>
      <c r="TQD34" s="672"/>
      <c r="TQE34" s="672"/>
      <c r="TQF34" s="672"/>
      <c r="TQG34" s="672"/>
      <c r="TQH34" s="672"/>
      <c r="TQI34" s="672"/>
      <c r="TQJ34" s="672"/>
      <c r="TQK34" s="672"/>
      <c r="TQL34" s="672"/>
      <c r="TQM34" s="672"/>
      <c r="TQN34" s="672"/>
      <c r="TQO34" s="672"/>
      <c r="TQP34" s="672"/>
      <c r="TQQ34" s="672"/>
      <c r="TQR34" s="672"/>
      <c r="TQS34" s="672"/>
      <c r="TQT34" s="672"/>
      <c r="TQU34" s="672"/>
      <c r="TQV34" s="672"/>
      <c r="TQW34" s="672"/>
      <c r="TQX34" s="672"/>
      <c r="TQY34" s="672"/>
      <c r="TQZ34" s="672"/>
      <c r="TRA34" s="672"/>
      <c r="TRB34" s="672"/>
      <c r="TRC34" s="672"/>
      <c r="TRD34" s="672"/>
      <c r="TRE34" s="672"/>
      <c r="TRF34" s="672"/>
      <c r="TRG34" s="672"/>
      <c r="TRH34" s="672"/>
      <c r="TRI34" s="672"/>
      <c r="TRJ34" s="672"/>
      <c r="TRK34" s="672"/>
      <c r="TRL34" s="672"/>
      <c r="TRM34" s="672"/>
      <c r="TRN34" s="672"/>
      <c r="TRO34" s="672"/>
      <c r="TRP34" s="672"/>
      <c r="TRQ34" s="672"/>
      <c r="TRR34" s="672"/>
      <c r="TRS34" s="672"/>
      <c r="TRT34" s="672"/>
      <c r="TRU34" s="672"/>
      <c r="TRV34" s="672"/>
      <c r="TRW34" s="672"/>
      <c r="TRX34" s="672"/>
      <c r="TRY34" s="672"/>
      <c r="TRZ34" s="672"/>
      <c r="TSA34" s="672"/>
      <c r="TSB34" s="672"/>
      <c r="TSC34" s="672"/>
      <c r="TSD34" s="672"/>
      <c r="TSE34" s="672"/>
      <c r="TSF34" s="672"/>
      <c r="TSG34" s="672"/>
      <c r="TSH34" s="672"/>
      <c r="TSI34" s="672"/>
      <c r="TSJ34" s="672"/>
      <c r="TSK34" s="672"/>
      <c r="TSL34" s="672"/>
      <c r="TSM34" s="672"/>
      <c r="TSN34" s="672"/>
      <c r="TSO34" s="672"/>
      <c r="TSP34" s="672"/>
      <c r="TSQ34" s="672"/>
      <c r="TSR34" s="672"/>
      <c r="TSS34" s="672"/>
      <c r="TST34" s="672"/>
      <c r="TSU34" s="672"/>
      <c r="TSV34" s="672"/>
      <c r="TSW34" s="672"/>
      <c r="TSX34" s="672"/>
      <c r="TSY34" s="672"/>
      <c r="TSZ34" s="672"/>
      <c r="TTA34" s="672"/>
      <c r="TTB34" s="672"/>
      <c r="TTC34" s="672"/>
      <c r="TTD34" s="672"/>
      <c r="TTE34" s="672"/>
      <c r="TTF34" s="672"/>
      <c r="TTG34" s="672"/>
      <c r="TTH34" s="672"/>
      <c r="TTI34" s="672"/>
      <c r="TTJ34" s="672"/>
      <c r="TTK34" s="672"/>
      <c r="TTL34" s="672"/>
      <c r="TTM34" s="672"/>
      <c r="TTN34" s="672"/>
      <c r="TTO34" s="672"/>
      <c r="TTP34" s="672"/>
      <c r="TTQ34" s="672"/>
      <c r="TTR34" s="672"/>
      <c r="TTS34" s="672"/>
      <c r="TTT34" s="672"/>
      <c r="TTU34" s="672"/>
      <c r="TTV34" s="672"/>
      <c r="TTW34" s="672"/>
      <c r="TTX34" s="672"/>
      <c r="TTY34" s="672"/>
      <c r="TTZ34" s="672"/>
      <c r="TUA34" s="672"/>
      <c r="TUB34" s="672"/>
      <c r="TUC34" s="672"/>
      <c r="TUD34" s="672"/>
      <c r="TUE34" s="672"/>
      <c r="TUF34" s="672"/>
      <c r="TUG34" s="672"/>
      <c r="TUH34" s="672"/>
      <c r="TUI34" s="672"/>
      <c r="TUJ34" s="672"/>
      <c r="TUK34" s="672"/>
      <c r="TUL34" s="672"/>
      <c r="TUM34" s="672"/>
      <c r="TUN34" s="672"/>
      <c r="TUO34" s="672"/>
      <c r="TUP34" s="672"/>
      <c r="TUQ34" s="672"/>
      <c r="TUR34" s="672"/>
      <c r="TUS34" s="672"/>
      <c r="TUT34" s="672"/>
      <c r="TUU34" s="672"/>
      <c r="TUV34" s="672"/>
      <c r="TUW34" s="672"/>
      <c r="TUX34" s="672"/>
      <c r="TUY34" s="672"/>
      <c r="TUZ34" s="672"/>
      <c r="TVA34" s="672"/>
      <c r="TVB34" s="672"/>
      <c r="TVC34" s="672"/>
      <c r="TVD34" s="672"/>
      <c r="TVE34" s="672"/>
      <c r="TVF34" s="672"/>
      <c r="TVG34" s="672"/>
      <c r="TVH34" s="672"/>
      <c r="TVI34" s="672"/>
      <c r="TVJ34" s="672"/>
      <c r="TVK34" s="672"/>
      <c r="TVL34" s="672"/>
      <c r="TVM34" s="672"/>
      <c r="TVN34" s="672"/>
      <c r="TVO34" s="672"/>
      <c r="TVP34" s="672"/>
      <c r="TVQ34" s="672"/>
      <c r="TVR34" s="672"/>
      <c r="TVS34" s="672"/>
      <c r="TVT34" s="672"/>
      <c r="TVU34" s="672"/>
      <c r="TVV34" s="672"/>
      <c r="TVW34" s="672"/>
      <c r="TVX34" s="672"/>
      <c r="TVY34" s="672"/>
      <c r="TVZ34" s="672"/>
      <c r="TWA34" s="672"/>
      <c r="TWB34" s="672"/>
      <c r="TWC34" s="672"/>
      <c r="TWD34" s="672"/>
      <c r="TWE34" s="672"/>
      <c r="TWF34" s="672"/>
      <c r="TWG34" s="672"/>
      <c r="TWH34" s="672"/>
      <c r="TWI34" s="672"/>
      <c r="TWJ34" s="672"/>
      <c r="TWK34" s="672"/>
      <c r="TWL34" s="672"/>
      <c r="TWM34" s="672"/>
      <c r="TWN34" s="672"/>
      <c r="TWO34" s="672"/>
      <c r="TWP34" s="672"/>
      <c r="TWQ34" s="672"/>
      <c r="TWR34" s="672"/>
      <c r="TWS34" s="672"/>
      <c r="TWT34" s="672"/>
      <c r="TWU34" s="672"/>
      <c r="TWV34" s="672"/>
      <c r="TWW34" s="672"/>
      <c r="TWX34" s="672"/>
      <c r="TWY34" s="672"/>
      <c r="TWZ34" s="672"/>
      <c r="TXA34" s="672"/>
      <c r="TXB34" s="672"/>
      <c r="TXC34" s="672"/>
      <c r="TXD34" s="672"/>
      <c r="TXE34" s="672"/>
      <c r="TXF34" s="672"/>
      <c r="TXG34" s="672"/>
      <c r="TXH34" s="672"/>
      <c r="TXI34" s="672"/>
      <c r="TXJ34" s="672"/>
      <c r="TXK34" s="672"/>
      <c r="TXL34" s="672"/>
      <c r="TXM34" s="672"/>
      <c r="TXN34" s="672"/>
      <c r="TXO34" s="672"/>
      <c r="TXP34" s="672"/>
      <c r="TXQ34" s="672"/>
      <c r="TXR34" s="672"/>
      <c r="TXS34" s="672"/>
      <c r="TXT34" s="672"/>
      <c r="TXU34" s="672"/>
      <c r="TXV34" s="672"/>
      <c r="TXW34" s="672"/>
      <c r="TXX34" s="672"/>
      <c r="TXY34" s="672"/>
      <c r="TXZ34" s="672"/>
      <c r="TYA34" s="672"/>
      <c r="TYB34" s="672"/>
      <c r="TYC34" s="672"/>
      <c r="TYD34" s="672"/>
      <c r="TYE34" s="672"/>
      <c r="TYF34" s="672"/>
      <c r="TYG34" s="672"/>
      <c r="TYH34" s="672"/>
      <c r="TYI34" s="672"/>
      <c r="TYJ34" s="672"/>
      <c r="TYK34" s="672"/>
      <c r="TYL34" s="672"/>
      <c r="TYM34" s="672"/>
      <c r="TYN34" s="672"/>
      <c r="TYO34" s="672"/>
      <c r="TYP34" s="672"/>
      <c r="TYQ34" s="672"/>
      <c r="TYR34" s="672"/>
      <c r="TYS34" s="672"/>
      <c r="TYT34" s="672"/>
      <c r="TYU34" s="672"/>
      <c r="TYV34" s="672"/>
      <c r="TYW34" s="672"/>
      <c r="TYX34" s="672"/>
      <c r="TYY34" s="672"/>
      <c r="TYZ34" s="672"/>
      <c r="TZA34" s="672"/>
      <c r="TZB34" s="672"/>
      <c r="TZC34" s="672"/>
      <c r="TZD34" s="672"/>
      <c r="TZE34" s="672"/>
      <c r="TZF34" s="672"/>
      <c r="TZG34" s="672"/>
      <c r="TZH34" s="672"/>
      <c r="TZI34" s="672"/>
      <c r="TZJ34" s="672"/>
      <c r="TZK34" s="672"/>
      <c r="TZL34" s="672"/>
      <c r="TZM34" s="672"/>
      <c r="TZN34" s="672"/>
      <c r="TZO34" s="672"/>
      <c r="TZP34" s="672"/>
      <c r="TZQ34" s="672"/>
      <c r="TZR34" s="672"/>
      <c r="TZS34" s="672"/>
      <c r="TZT34" s="672"/>
      <c r="TZU34" s="672"/>
      <c r="TZV34" s="672"/>
      <c r="TZW34" s="672"/>
      <c r="TZX34" s="672"/>
      <c r="TZY34" s="672"/>
      <c r="TZZ34" s="672"/>
      <c r="UAA34" s="672"/>
      <c r="UAB34" s="672"/>
      <c r="UAC34" s="672"/>
      <c r="UAD34" s="672"/>
      <c r="UAE34" s="672"/>
      <c r="UAF34" s="672"/>
      <c r="UAG34" s="672"/>
      <c r="UAH34" s="672"/>
      <c r="UAI34" s="672"/>
      <c r="UAJ34" s="672"/>
      <c r="UAK34" s="672"/>
      <c r="UAL34" s="672"/>
      <c r="UAM34" s="672"/>
      <c r="UAN34" s="672"/>
      <c r="UAO34" s="672"/>
      <c r="UAP34" s="672"/>
      <c r="UAQ34" s="672"/>
      <c r="UAR34" s="672"/>
      <c r="UAS34" s="672"/>
      <c r="UAT34" s="672"/>
      <c r="UAU34" s="672"/>
      <c r="UAV34" s="672"/>
      <c r="UAW34" s="672"/>
      <c r="UAX34" s="672"/>
      <c r="UAY34" s="672"/>
      <c r="UAZ34" s="672"/>
      <c r="UBA34" s="672"/>
      <c r="UBB34" s="672"/>
      <c r="UBC34" s="672"/>
      <c r="UBD34" s="672"/>
      <c r="UBE34" s="672"/>
      <c r="UBF34" s="672"/>
      <c r="UBG34" s="672"/>
      <c r="UBH34" s="672"/>
      <c r="UBI34" s="672"/>
      <c r="UBJ34" s="672"/>
      <c r="UBK34" s="672"/>
      <c r="UBL34" s="672"/>
      <c r="UBM34" s="672"/>
      <c r="UBN34" s="672"/>
      <c r="UBO34" s="672"/>
      <c r="UBP34" s="672"/>
      <c r="UBQ34" s="672"/>
      <c r="UBR34" s="672"/>
      <c r="UBS34" s="672"/>
      <c r="UBT34" s="672"/>
      <c r="UBU34" s="672"/>
      <c r="UBV34" s="672"/>
      <c r="UBW34" s="672"/>
      <c r="UBX34" s="672"/>
      <c r="UBY34" s="672"/>
      <c r="UBZ34" s="672"/>
      <c r="UCA34" s="672"/>
      <c r="UCB34" s="672"/>
      <c r="UCC34" s="672"/>
      <c r="UCD34" s="672"/>
      <c r="UCE34" s="672"/>
      <c r="UCF34" s="672"/>
      <c r="UCG34" s="672"/>
      <c r="UCH34" s="672"/>
      <c r="UCI34" s="672"/>
      <c r="UCJ34" s="672"/>
      <c r="UCK34" s="672"/>
      <c r="UCL34" s="672"/>
      <c r="UCM34" s="672"/>
      <c r="UCN34" s="672"/>
      <c r="UCO34" s="672"/>
      <c r="UCP34" s="672"/>
      <c r="UCQ34" s="672"/>
      <c r="UCR34" s="672"/>
      <c r="UCS34" s="672"/>
      <c r="UCT34" s="672"/>
      <c r="UCU34" s="672"/>
      <c r="UCV34" s="672"/>
      <c r="UCW34" s="672"/>
      <c r="UCX34" s="672"/>
      <c r="UCY34" s="672"/>
      <c r="UCZ34" s="672"/>
      <c r="UDA34" s="672"/>
      <c r="UDB34" s="672"/>
      <c r="UDC34" s="672"/>
      <c r="UDD34" s="672"/>
      <c r="UDE34" s="672"/>
      <c r="UDF34" s="672"/>
      <c r="UDG34" s="672"/>
      <c r="UDH34" s="672"/>
      <c r="UDI34" s="672"/>
      <c r="UDJ34" s="672"/>
      <c r="UDK34" s="672"/>
      <c r="UDL34" s="672"/>
      <c r="UDM34" s="672"/>
      <c r="UDN34" s="672"/>
      <c r="UDO34" s="672"/>
      <c r="UDP34" s="672"/>
      <c r="UDQ34" s="672"/>
      <c r="UDR34" s="672"/>
      <c r="UDS34" s="672"/>
      <c r="UDT34" s="672"/>
      <c r="UDU34" s="672"/>
      <c r="UDV34" s="672"/>
      <c r="UDW34" s="672"/>
      <c r="UDX34" s="672"/>
      <c r="UDY34" s="672"/>
      <c r="UDZ34" s="672"/>
      <c r="UEA34" s="672"/>
      <c r="UEB34" s="672"/>
      <c r="UEC34" s="672"/>
      <c r="UED34" s="672"/>
      <c r="UEE34" s="672"/>
      <c r="UEF34" s="672"/>
      <c r="UEG34" s="672"/>
      <c r="UEH34" s="672"/>
      <c r="UEI34" s="672"/>
      <c r="UEJ34" s="672"/>
      <c r="UEK34" s="672"/>
      <c r="UEL34" s="672"/>
      <c r="UEM34" s="672"/>
      <c r="UEN34" s="672"/>
      <c r="UEO34" s="672"/>
      <c r="UEP34" s="672"/>
      <c r="UEQ34" s="672"/>
      <c r="UER34" s="672"/>
      <c r="UES34" s="672"/>
      <c r="UET34" s="672"/>
      <c r="UEU34" s="672"/>
      <c r="UEV34" s="672"/>
      <c r="UEW34" s="672"/>
      <c r="UEX34" s="672"/>
      <c r="UEY34" s="672"/>
      <c r="UEZ34" s="672"/>
      <c r="UFA34" s="672"/>
      <c r="UFB34" s="672"/>
      <c r="UFC34" s="672"/>
      <c r="UFD34" s="672"/>
      <c r="UFE34" s="672"/>
      <c r="UFF34" s="672"/>
      <c r="UFG34" s="672"/>
      <c r="UFH34" s="672"/>
      <c r="UFI34" s="672"/>
      <c r="UFJ34" s="672"/>
      <c r="UFK34" s="672"/>
      <c r="UFL34" s="672"/>
      <c r="UFM34" s="672"/>
      <c r="UFN34" s="672"/>
      <c r="UFO34" s="672"/>
      <c r="UFP34" s="672"/>
      <c r="UFQ34" s="672"/>
      <c r="UFR34" s="672"/>
      <c r="UFS34" s="672"/>
      <c r="UFT34" s="672"/>
      <c r="UFU34" s="672"/>
      <c r="UFV34" s="672"/>
      <c r="UFW34" s="672"/>
      <c r="UFX34" s="672"/>
      <c r="UFY34" s="672"/>
      <c r="UFZ34" s="672"/>
      <c r="UGA34" s="672"/>
      <c r="UGB34" s="672"/>
      <c r="UGC34" s="672"/>
      <c r="UGD34" s="672"/>
      <c r="UGE34" s="672"/>
      <c r="UGF34" s="672"/>
      <c r="UGG34" s="672"/>
      <c r="UGH34" s="672"/>
      <c r="UGI34" s="672"/>
      <c r="UGJ34" s="672"/>
      <c r="UGK34" s="672"/>
      <c r="UGL34" s="672"/>
      <c r="UGM34" s="672"/>
      <c r="UGN34" s="672"/>
      <c r="UGO34" s="672"/>
      <c r="UGP34" s="672"/>
      <c r="UGQ34" s="672"/>
      <c r="UGR34" s="672"/>
      <c r="UGS34" s="672"/>
      <c r="UGT34" s="672"/>
      <c r="UGU34" s="672"/>
      <c r="UGV34" s="672"/>
      <c r="UGW34" s="672"/>
      <c r="UGX34" s="672"/>
      <c r="UGY34" s="672"/>
      <c r="UGZ34" s="672"/>
      <c r="UHA34" s="672"/>
      <c r="UHB34" s="672"/>
      <c r="UHC34" s="672"/>
      <c r="UHD34" s="672"/>
      <c r="UHE34" s="672"/>
      <c r="UHF34" s="672"/>
      <c r="UHG34" s="672"/>
      <c r="UHH34" s="672"/>
      <c r="UHI34" s="672"/>
      <c r="UHJ34" s="672"/>
      <c r="UHK34" s="672"/>
      <c r="UHL34" s="672"/>
      <c r="UHM34" s="672"/>
      <c r="UHN34" s="672"/>
      <c r="UHO34" s="672"/>
      <c r="UHP34" s="672"/>
      <c r="UHQ34" s="672"/>
      <c r="UHR34" s="672"/>
      <c r="UHS34" s="672"/>
      <c r="UHT34" s="672"/>
      <c r="UHU34" s="672"/>
      <c r="UHV34" s="672"/>
      <c r="UHW34" s="672"/>
      <c r="UHX34" s="672"/>
      <c r="UHY34" s="672"/>
      <c r="UHZ34" s="672"/>
      <c r="UIA34" s="672"/>
      <c r="UIB34" s="672"/>
      <c r="UIC34" s="672"/>
      <c r="UID34" s="672"/>
      <c r="UIE34" s="672"/>
      <c r="UIF34" s="672"/>
      <c r="UIG34" s="672"/>
      <c r="UIH34" s="672"/>
      <c r="UII34" s="672"/>
      <c r="UIJ34" s="672"/>
      <c r="UIK34" s="672"/>
      <c r="UIL34" s="672"/>
      <c r="UIM34" s="672"/>
      <c r="UIN34" s="672"/>
      <c r="UIO34" s="672"/>
      <c r="UIP34" s="672"/>
      <c r="UIQ34" s="672"/>
      <c r="UIR34" s="672"/>
      <c r="UIS34" s="672"/>
      <c r="UIT34" s="672"/>
      <c r="UIU34" s="672"/>
      <c r="UIV34" s="672"/>
      <c r="UIW34" s="672"/>
      <c r="UIX34" s="672"/>
      <c r="UIY34" s="672"/>
      <c r="UIZ34" s="672"/>
      <c r="UJA34" s="672"/>
      <c r="UJB34" s="672"/>
      <c r="UJC34" s="672"/>
      <c r="UJD34" s="672"/>
      <c r="UJE34" s="672"/>
      <c r="UJF34" s="672"/>
      <c r="UJG34" s="672"/>
      <c r="UJH34" s="672"/>
      <c r="UJI34" s="672"/>
      <c r="UJJ34" s="672"/>
      <c r="UJK34" s="672"/>
      <c r="UJL34" s="672"/>
      <c r="UJM34" s="672"/>
      <c r="UJN34" s="672"/>
      <c r="UJO34" s="672"/>
      <c r="UJP34" s="672"/>
      <c r="UJQ34" s="672"/>
      <c r="UJR34" s="672"/>
      <c r="UJS34" s="672"/>
      <c r="UJT34" s="672"/>
      <c r="UJU34" s="672"/>
      <c r="UJV34" s="672"/>
      <c r="UJW34" s="672"/>
      <c r="UJX34" s="672"/>
      <c r="UJY34" s="672"/>
      <c r="UJZ34" s="672"/>
      <c r="UKA34" s="672"/>
      <c r="UKB34" s="672"/>
      <c r="UKC34" s="672"/>
      <c r="UKD34" s="672"/>
      <c r="UKE34" s="672"/>
      <c r="UKF34" s="672"/>
      <c r="UKG34" s="672"/>
      <c r="UKH34" s="672"/>
      <c r="UKI34" s="672"/>
      <c r="UKJ34" s="672"/>
      <c r="UKK34" s="672"/>
      <c r="UKL34" s="672"/>
      <c r="UKM34" s="672"/>
      <c r="UKN34" s="672"/>
      <c r="UKO34" s="672"/>
      <c r="UKP34" s="672"/>
      <c r="UKQ34" s="672"/>
      <c r="UKR34" s="672"/>
      <c r="UKS34" s="672"/>
      <c r="UKT34" s="672"/>
      <c r="UKU34" s="672"/>
      <c r="UKV34" s="672"/>
      <c r="UKW34" s="672"/>
      <c r="UKX34" s="672"/>
      <c r="UKY34" s="672"/>
      <c r="UKZ34" s="672"/>
      <c r="ULA34" s="672"/>
      <c r="ULB34" s="672"/>
      <c r="ULC34" s="672"/>
      <c r="ULD34" s="672"/>
      <c r="ULE34" s="672"/>
      <c r="ULF34" s="672"/>
      <c r="ULG34" s="672"/>
      <c r="ULH34" s="672"/>
      <c r="ULI34" s="672"/>
      <c r="ULJ34" s="672"/>
      <c r="ULK34" s="672"/>
      <c r="ULL34" s="672"/>
      <c r="ULM34" s="672"/>
      <c r="ULN34" s="672"/>
      <c r="ULO34" s="672"/>
      <c r="ULP34" s="672"/>
      <c r="ULQ34" s="672"/>
      <c r="ULR34" s="672"/>
      <c r="ULS34" s="672"/>
      <c r="ULT34" s="672"/>
      <c r="ULU34" s="672"/>
      <c r="ULV34" s="672"/>
      <c r="ULW34" s="672"/>
      <c r="ULX34" s="672"/>
      <c r="ULY34" s="672"/>
      <c r="ULZ34" s="672"/>
      <c r="UMA34" s="672"/>
      <c r="UMB34" s="672"/>
      <c r="UMC34" s="672"/>
      <c r="UMD34" s="672"/>
      <c r="UME34" s="672"/>
      <c r="UMF34" s="672"/>
      <c r="UMG34" s="672"/>
      <c r="UMH34" s="672"/>
      <c r="UMI34" s="672"/>
      <c r="UMJ34" s="672"/>
      <c r="UMK34" s="672"/>
      <c r="UML34" s="672"/>
      <c r="UMM34" s="672"/>
      <c r="UMN34" s="672"/>
      <c r="UMO34" s="672"/>
      <c r="UMP34" s="672"/>
      <c r="UMQ34" s="672"/>
      <c r="UMR34" s="672"/>
      <c r="UMS34" s="672"/>
      <c r="UMT34" s="672"/>
      <c r="UMU34" s="672"/>
      <c r="UMV34" s="672"/>
      <c r="UMW34" s="672"/>
      <c r="UMX34" s="672"/>
      <c r="UMY34" s="672"/>
      <c r="UMZ34" s="672"/>
      <c r="UNA34" s="672"/>
      <c r="UNB34" s="672"/>
      <c r="UNC34" s="672"/>
      <c r="UND34" s="672"/>
      <c r="UNE34" s="672"/>
      <c r="UNF34" s="672"/>
      <c r="UNG34" s="672"/>
      <c r="UNH34" s="672"/>
      <c r="UNI34" s="672"/>
      <c r="UNJ34" s="672"/>
      <c r="UNK34" s="672"/>
      <c r="UNL34" s="672"/>
      <c r="UNM34" s="672"/>
      <c r="UNN34" s="672"/>
      <c r="UNO34" s="672"/>
      <c r="UNP34" s="672"/>
      <c r="UNQ34" s="672"/>
      <c r="UNR34" s="672"/>
      <c r="UNS34" s="672"/>
      <c r="UNT34" s="672"/>
      <c r="UNU34" s="672"/>
      <c r="UNV34" s="672"/>
      <c r="UNW34" s="672"/>
      <c r="UNX34" s="672"/>
      <c r="UNY34" s="672"/>
      <c r="UNZ34" s="672"/>
      <c r="UOA34" s="672"/>
      <c r="UOB34" s="672"/>
      <c r="UOC34" s="672"/>
      <c r="UOD34" s="672"/>
      <c r="UOE34" s="672"/>
      <c r="UOF34" s="672"/>
      <c r="UOG34" s="672"/>
      <c r="UOH34" s="672"/>
      <c r="UOI34" s="672"/>
      <c r="UOJ34" s="672"/>
      <c r="UOK34" s="672"/>
      <c r="UOL34" s="672"/>
      <c r="UOM34" s="672"/>
      <c r="UON34" s="672"/>
      <c r="UOO34" s="672"/>
      <c r="UOP34" s="672"/>
      <c r="UOQ34" s="672"/>
      <c r="UOR34" s="672"/>
      <c r="UOS34" s="672"/>
      <c r="UOT34" s="672"/>
      <c r="UOU34" s="672"/>
      <c r="UOV34" s="672"/>
      <c r="UOW34" s="672"/>
      <c r="UOX34" s="672"/>
      <c r="UOY34" s="672"/>
      <c r="UOZ34" s="672"/>
      <c r="UPA34" s="672"/>
      <c r="UPB34" s="672"/>
      <c r="UPC34" s="672"/>
      <c r="UPD34" s="672"/>
      <c r="UPE34" s="672"/>
      <c r="UPF34" s="672"/>
      <c r="UPG34" s="672"/>
      <c r="UPH34" s="672"/>
      <c r="UPI34" s="672"/>
      <c r="UPJ34" s="672"/>
      <c r="UPK34" s="672"/>
      <c r="UPL34" s="672"/>
      <c r="UPM34" s="672"/>
      <c r="UPN34" s="672"/>
      <c r="UPO34" s="672"/>
      <c r="UPP34" s="672"/>
      <c r="UPQ34" s="672"/>
      <c r="UPR34" s="672"/>
      <c r="UPS34" s="672"/>
      <c r="UPT34" s="672"/>
      <c r="UPU34" s="672"/>
      <c r="UPV34" s="672"/>
      <c r="UPW34" s="672"/>
      <c r="UPX34" s="672"/>
      <c r="UPY34" s="672"/>
      <c r="UPZ34" s="672"/>
      <c r="UQA34" s="672"/>
      <c r="UQB34" s="672"/>
      <c r="UQC34" s="672"/>
      <c r="UQD34" s="672"/>
      <c r="UQE34" s="672"/>
      <c r="UQF34" s="672"/>
      <c r="UQG34" s="672"/>
      <c r="UQH34" s="672"/>
      <c r="UQI34" s="672"/>
      <c r="UQJ34" s="672"/>
      <c r="UQK34" s="672"/>
      <c r="UQL34" s="672"/>
      <c r="UQM34" s="672"/>
      <c r="UQN34" s="672"/>
      <c r="UQO34" s="672"/>
      <c r="UQP34" s="672"/>
      <c r="UQQ34" s="672"/>
      <c r="UQR34" s="672"/>
      <c r="UQS34" s="672"/>
      <c r="UQT34" s="672"/>
      <c r="UQU34" s="672"/>
      <c r="UQV34" s="672"/>
      <c r="UQW34" s="672"/>
      <c r="UQX34" s="672"/>
      <c r="UQY34" s="672"/>
      <c r="UQZ34" s="672"/>
      <c r="URA34" s="672"/>
      <c r="URB34" s="672"/>
      <c r="URC34" s="672"/>
      <c r="URD34" s="672"/>
      <c r="URE34" s="672"/>
      <c r="URF34" s="672"/>
      <c r="URG34" s="672"/>
      <c r="URH34" s="672"/>
      <c r="URI34" s="672"/>
      <c r="URJ34" s="672"/>
      <c r="URK34" s="672"/>
      <c r="URL34" s="672"/>
      <c r="URM34" s="672"/>
      <c r="URN34" s="672"/>
      <c r="URO34" s="672"/>
      <c r="URP34" s="672"/>
      <c r="URQ34" s="672"/>
      <c r="URR34" s="672"/>
      <c r="URS34" s="672"/>
      <c r="URT34" s="672"/>
      <c r="URU34" s="672"/>
      <c r="URV34" s="672"/>
      <c r="URW34" s="672"/>
      <c r="URX34" s="672"/>
      <c r="URY34" s="672"/>
      <c r="URZ34" s="672"/>
      <c r="USA34" s="672"/>
      <c r="USB34" s="672"/>
      <c r="USC34" s="672"/>
      <c r="USD34" s="672"/>
      <c r="USE34" s="672"/>
      <c r="USF34" s="672"/>
      <c r="USG34" s="672"/>
      <c r="USH34" s="672"/>
      <c r="USI34" s="672"/>
      <c r="USJ34" s="672"/>
      <c r="USK34" s="672"/>
      <c r="USL34" s="672"/>
      <c r="USM34" s="672"/>
      <c r="USN34" s="672"/>
      <c r="USO34" s="672"/>
      <c r="USP34" s="672"/>
      <c r="USQ34" s="672"/>
      <c r="USR34" s="672"/>
      <c r="USS34" s="672"/>
      <c r="UST34" s="672"/>
      <c r="USU34" s="672"/>
      <c r="USV34" s="672"/>
      <c r="USW34" s="672"/>
      <c r="USX34" s="672"/>
      <c r="USY34" s="672"/>
      <c r="USZ34" s="672"/>
      <c r="UTA34" s="672"/>
      <c r="UTB34" s="672"/>
      <c r="UTC34" s="672"/>
      <c r="UTD34" s="672"/>
      <c r="UTE34" s="672"/>
      <c r="UTF34" s="672"/>
      <c r="UTG34" s="672"/>
      <c r="UTH34" s="672"/>
      <c r="UTI34" s="672"/>
      <c r="UTJ34" s="672"/>
      <c r="UTK34" s="672"/>
      <c r="UTL34" s="672"/>
      <c r="UTM34" s="672"/>
      <c r="UTN34" s="672"/>
      <c r="UTO34" s="672"/>
      <c r="UTP34" s="672"/>
      <c r="UTQ34" s="672"/>
      <c r="UTR34" s="672"/>
      <c r="UTS34" s="672"/>
      <c r="UTT34" s="672"/>
      <c r="UTU34" s="672"/>
      <c r="UTV34" s="672"/>
      <c r="UTW34" s="672"/>
      <c r="UTX34" s="672"/>
      <c r="UTY34" s="672"/>
      <c r="UTZ34" s="672"/>
      <c r="UUA34" s="672"/>
      <c r="UUB34" s="672"/>
      <c r="UUC34" s="672"/>
      <c r="UUD34" s="672"/>
      <c r="UUE34" s="672"/>
      <c r="UUF34" s="672"/>
      <c r="UUG34" s="672"/>
      <c r="UUH34" s="672"/>
      <c r="UUI34" s="672"/>
      <c r="UUJ34" s="672"/>
      <c r="UUK34" s="672"/>
      <c r="UUL34" s="672"/>
      <c r="UUM34" s="672"/>
      <c r="UUN34" s="672"/>
      <c r="UUO34" s="672"/>
      <c r="UUP34" s="672"/>
      <c r="UUQ34" s="672"/>
      <c r="UUR34" s="672"/>
      <c r="UUS34" s="672"/>
      <c r="UUT34" s="672"/>
      <c r="UUU34" s="672"/>
      <c r="UUV34" s="672"/>
      <c r="UUW34" s="672"/>
      <c r="UUX34" s="672"/>
      <c r="UUY34" s="672"/>
      <c r="UUZ34" s="672"/>
      <c r="UVA34" s="672"/>
      <c r="UVB34" s="672"/>
      <c r="UVC34" s="672"/>
      <c r="UVD34" s="672"/>
      <c r="UVE34" s="672"/>
      <c r="UVF34" s="672"/>
      <c r="UVG34" s="672"/>
      <c r="UVH34" s="672"/>
      <c r="UVI34" s="672"/>
      <c r="UVJ34" s="672"/>
      <c r="UVK34" s="672"/>
      <c r="UVL34" s="672"/>
      <c r="UVM34" s="672"/>
      <c r="UVN34" s="672"/>
      <c r="UVO34" s="672"/>
      <c r="UVP34" s="672"/>
      <c r="UVQ34" s="672"/>
      <c r="UVR34" s="672"/>
      <c r="UVS34" s="672"/>
      <c r="UVT34" s="672"/>
      <c r="UVU34" s="672"/>
      <c r="UVV34" s="672"/>
      <c r="UVW34" s="672"/>
      <c r="UVX34" s="672"/>
      <c r="UVY34" s="672"/>
      <c r="UVZ34" s="672"/>
      <c r="UWA34" s="672"/>
      <c r="UWB34" s="672"/>
      <c r="UWC34" s="672"/>
      <c r="UWD34" s="672"/>
      <c r="UWE34" s="672"/>
      <c r="UWF34" s="672"/>
      <c r="UWG34" s="672"/>
      <c r="UWH34" s="672"/>
      <c r="UWI34" s="672"/>
      <c r="UWJ34" s="672"/>
      <c r="UWK34" s="672"/>
      <c r="UWL34" s="672"/>
      <c r="UWM34" s="672"/>
      <c r="UWN34" s="672"/>
      <c r="UWO34" s="672"/>
      <c r="UWP34" s="672"/>
      <c r="UWQ34" s="672"/>
      <c r="UWR34" s="672"/>
      <c r="UWS34" s="672"/>
      <c r="UWT34" s="672"/>
      <c r="UWU34" s="672"/>
      <c r="UWV34" s="672"/>
      <c r="UWW34" s="672"/>
      <c r="UWX34" s="672"/>
      <c r="UWY34" s="672"/>
      <c r="UWZ34" s="672"/>
      <c r="UXA34" s="672"/>
      <c r="UXB34" s="672"/>
      <c r="UXC34" s="672"/>
      <c r="UXD34" s="672"/>
      <c r="UXE34" s="672"/>
      <c r="UXF34" s="672"/>
      <c r="UXG34" s="672"/>
      <c r="UXH34" s="672"/>
      <c r="UXI34" s="672"/>
      <c r="UXJ34" s="672"/>
      <c r="UXK34" s="672"/>
      <c r="UXL34" s="672"/>
      <c r="UXM34" s="672"/>
      <c r="UXN34" s="672"/>
      <c r="UXO34" s="672"/>
      <c r="UXP34" s="672"/>
      <c r="UXQ34" s="672"/>
      <c r="UXR34" s="672"/>
      <c r="UXS34" s="672"/>
      <c r="UXT34" s="672"/>
      <c r="UXU34" s="672"/>
      <c r="UXV34" s="672"/>
      <c r="UXW34" s="672"/>
      <c r="UXX34" s="672"/>
      <c r="UXY34" s="672"/>
      <c r="UXZ34" s="672"/>
      <c r="UYA34" s="672"/>
      <c r="UYB34" s="672"/>
      <c r="UYC34" s="672"/>
      <c r="UYD34" s="672"/>
      <c r="UYE34" s="672"/>
      <c r="UYF34" s="672"/>
      <c r="UYG34" s="672"/>
      <c r="UYH34" s="672"/>
      <c r="UYI34" s="672"/>
      <c r="UYJ34" s="672"/>
      <c r="UYK34" s="672"/>
      <c r="UYL34" s="672"/>
      <c r="UYM34" s="672"/>
      <c r="UYN34" s="672"/>
      <c r="UYO34" s="672"/>
      <c r="UYP34" s="672"/>
      <c r="UYQ34" s="672"/>
      <c r="UYR34" s="672"/>
      <c r="UYS34" s="672"/>
      <c r="UYT34" s="672"/>
      <c r="UYU34" s="672"/>
      <c r="UYV34" s="672"/>
      <c r="UYW34" s="672"/>
      <c r="UYX34" s="672"/>
      <c r="UYY34" s="672"/>
      <c r="UYZ34" s="672"/>
      <c r="UZA34" s="672"/>
      <c r="UZB34" s="672"/>
      <c r="UZC34" s="672"/>
      <c r="UZD34" s="672"/>
      <c r="UZE34" s="672"/>
      <c r="UZF34" s="672"/>
      <c r="UZG34" s="672"/>
      <c r="UZH34" s="672"/>
      <c r="UZI34" s="672"/>
      <c r="UZJ34" s="672"/>
      <c r="UZK34" s="672"/>
      <c r="UZL34" s="672"/>
      <c r="UZM34" s="672"/>
      <c r="UZN34" s="672"/>
      <c r="UZO34" s="672"/>
      <c r="UZP34" s="672"/>
      <c r="UZQ34" s="672"/>
      <c r="UZR34" s="672"/>
      <c r="UZS34" s="672"/>
      <c r="UZT34" s="672"/>
      <c r="UZU34" s="672"/>
      <c r="UZV34" s="672"/>
      <c r="UZW34" s="672"/>
      <c r="UZX34" s="672"/>
      <c r="UZY34" s="672"/>
      <c r="UZZ34" s="672"/>
      <c r="VAA34" s="672"/>
      <c r="VAB34" s="672"/>
      <c r="VAC34" s="672"/>
      <c r="VAD34" s="672"/>
      <c r="VAE34" s="672"/>
      <c r="VAF34" s="672"/>
      <c r="VAG34" s="672"/>
      <c r="VAH34" s="672"/>
      <c r="VAI34" s="672"/>
      <c r="VAJ34" s="672"/>
      <c r="VAK34" s="672"/>
      <c r="VAL34" s="672"/>
      <c r="VAM34" s="672"/>
      <c r="VAN34" s="672"/>
      <c r="VAO34" s="672"/>
      <c r="VAP34" s="672"/>
      <c r="VAQ34" s="672"/>
      <c r="VAR34" s="672"/>
      <c r="VAS34" s="672"/>
      <c r="VAT34" s="672"/>
      <c r="VAU34" s="672"/>
      <c r="VAV34" s="672"/>
      <c r="VAW34" s="672"/>
      <c r="VAX34" s="672"/>
      <c r="VAY34" s="672"/>
      <c r="VAZ34" s="672"/>
      <c r="VBA34" s="672"/>
      <c r="VBB34" s="672"/>
      <c r="VBC34" s="672"/>
      <c r="VBD34" s="672"/>
      <c r="VBE34" s="672"/>
      <c r="VBF34" s="672"/>
      <c r="VBG34" s="672"/>
      <c r="VBH34" s="672"/>
      <c r="VBI34" s="672"/>
      <c r="VBJ34" s="672"/>
      <c r="VBK34" s="672"/>
      <c r="VBL34" s="672"/>
      <c r="VBM34" s="672"/>
      <c r="VBN34" s="672"/>
      <c r="VBO34" s="672"/>
      <c r="VBP34" s="672"/>
      <c r="VBQ34" s="672"/>
      <c r="VBR34" s="672"/>
      <c r="VBS34" s="672"/>
      <c r="VBT34" s="672"/>
      <c r="VBU34" s="672"/>
      <c r="VBV34" s="672"/>
      <c r="VBW34" s="672"/>
      <c r="VBX34" s="672"/>
      <c r="VBY34" s="672"/>
      <c r="VBZ34" s="672"/>
      <c r="VCA34" s="672"/>
      <c r="VCB34" s="672"/>
      <c r="VCC34" s="672"/>
      <c r="VCD34" s="672"/>
      <c r="VCE34" s="672"/>
      <c r="VCF34" s="672"/>
      <c r="VCG34" s="672"/>
      <c r="VCH34" s="672"/>
      <c r="VCI34" s="672"/>
      <c r="VCJ34" s="672"/>
      <c r="VCK34" s="672"/>
      <c r="VCL34" s="672"/>
      <c r="VCM34" s="672"/>
      <c r="VCN34" s="672"/>
      <c r="VCO34" s="672"/>
      <c r="VCP34" s="672"/>
      <c r="VCQ34" s="672"/>
      <c r="VCR34" s="672"/>
      <c r="VCS34" s="672"/>
      <c r="VCT34" s="672"/>
      <c r="VCU34" s="672"/>
      <c r="VCV34" s="672"/>
      <c r="VCW34" s="672"/>
      <c r="VCX34" s="672"/>
      <c r="VCY34" s="672"/>
      <c r="VCZ34" s="672"/>
      <c r="VDA34" s="672"/>
      <c r="VDB34" s="672"/>
      <c r="VDC34" s="672"/>
      <c r="VDD34" s="672"/>
      <c r="VDE34" s="672"/>
      <c r="VDF34" s="672"/>
      <c r="VDG34" s="672"/>
      <c r="VDH34" s="672"/>
      <c r="VDI34" s="672"/>
      <c r="VDJ34" s="672"/>
      <c r="VDK34" s="672"/>
      <c r="VDL34" s="672"/>
      <c r="VDM34" s="672"/>
      <c r="VDN34" s="672"/>
      <c r="VDO34" s="672"/>
      <c r="VDP34" s="672"/>
      <c r="VDQ34" s="672"/>
      <c r="VDR34" s="672"/>
      <c r="VDS34" s="672"/>
      <c r="VDT34" s="672"/>
      <c r="VDU34" s="672"/>
      <c r="VDV34" s="672"/>
      <c r="VDW34" s="672"/>
      <c r="VDX34" s="672"/>
      <c r="VDY34" s="672"/>
      <c r="VDZ34" s="672"/>
      <c r="VEA34" s="672"/>
      <c r="VEB34" s="672"/>
      <c r="VEC34" s="672"/>
      <c r="VED34" s="672"/>
      <c r="VEE34" s="672"/>
      <c r="VEF34" s="672"/>
      <c r="VEG34" s="672"/>
      <c r="VEH34" s="672"/>
      <c r="VEI34" s="672"/>
      <c r="VEJ34" s="672"/>
      <c r="VEK34" s="672"/>
      <c r="VEL34" s="672"/>
      <c r="VEM34" s="672"/>
      <c r="VEN34" s="672"/>
      <c r="VEO34" s="672"/>
      <c r="VEP34" s="672"/>
      <c r="VEQ34" s="672"/>
      <c r="VER34" s="672"/>
      <c r="VES34" s="672"/>
      <c r="VET34" s="672"/>
      <c r="VEU34" s="672"/>
      <c r="VEV34" s="672"/>
      <c r="VEW34" s="672"/>
      <c r="VEX34" s="672"/>
      <c r="VEY34" s="672"/>
      <c r="VEZ34" s="672"/>
      <c r="VFA34" s="672"/>
      <c r="VFB34" s="672"/>
      <c r="VFC34" s="672"/>
      <c r="VFD34" s="672"/>
      <c r="VFE34" s="672"/>
      <c r="VFF34" s="672"/>
      <c r="VFG34" s="672"/>
      <c r="VFH34" s="672"/>
      <c r="VFI34" s="672"/>
      <c r="VFJ34" s="672"/>
      <c r="VFK34" s="672"/>
      <c r="VFL34" s="672"/>
      <c r="VFM34" s="672"/>
      <c r="VFN34" s="672"/>
      <c r="VFO34" s="672"/>
      <c r="VFP34" s="672"/>
      <c r="VFQ34" s="672"/>
      <c r="VFR34" s="672"/>
      <c r="VFS34" s="672"/>
      <c r="VFT34" s="672"/>
      <c r="VFU34" s="672"/>
      <c r="VFV34" s="672"/>
      <c r="VFW34" s="672"/>
      <c r="VFX34" s="672"/>
      <c r="VFY34" s="672"/>
      <c r="VFZ34" s="672"/>
      <c r="VGA34" s="672"/>
      <c r="VGB34" s="672"/>
      <c r="VGC34" s="672"/>
      <c r="VGD34" s="672"/>
      <c r="VGE34" s="672"/>
      <c r="VGF34" s="672"/>
      <c r="VGG34" s="672"/>
      <c r="VGH34" s="672"/>
      <c r="VGI34" s="672"/>
      <c r="VGJ34" s="672"/>
      <c r="VGK34" s="672"/>
      <c r="VGL34" s="672"/>
      <c r="VGM34" s="672"/>
      <c r="VGN34" s="672"/>
      <c r="VGO34" s="672"/>
      <c r="VGP34" s="672"/>
      <c r="VGQ34" s="672"/>
      <c r="VGR34" s="672"/>
      <c r="VGS34" s="672"/>
      <c r="VGT34" s="672"/>
      <c r="VGU34" s="672"/>
      <c r="VGV34" s="672"/>
      <c r="VGW34" s="672"/>
      <c r="VGX34" s="672"/>
      <c r="VGY34" s="672"/>
      <c r="VGZ34" s="672"/>
      <c r="VHA34" s="672"/>
      <c r="VHB34" s="672"/>
      <c r="VHC34" s="672"/>
      <c r="VHD34" s="672"/>
      <c r="VHE34" s="672"/>
      <c r="VHF34" s="672"/>
      <c r="VHG34" s="672"/>
      <c r="VHH34" s="672"/>
      <c r="VHI34" s="672"/>
      <c r="VHJ34" s="672"/>
      <c r="VHK34" s="672"/>
      <c r="VHL34" s="672"/>
      <c r="VHM34" s="672"/>
      <c r="VHN34" s="672"/>
      <c r="VHO34" s="672"/>
      <c r="VHP34" s="672"/>
      <c r="VHQ34" s="672"/>
      <c r="VHR34" s="672"/>
      <c r="VHS34" s="672"/>
      <c r="VHT34" s="672"/>
      <c r="VHU34" s="672"/>
      <c r="VHV34" s="672"/>
      <c r="VHW34" s="672"/>
      <c r="VHX34" s="672"/>
      <c r="VHY34" s="672"/>
      <c r="VHZ34" s="672"/>
      <c r="VIA34" s="672"/>
      <c r="VIB34" s="672"/>
      <c r="VIC34" s="672"/>
      <c r="VID34" s="672"/>
      <c r="VIE34" s="672"/>
      <c r="VIF34" s="672"/>
      <c r="VIG34" s="672"/>
      <c r="VIH34" s="672"/>
      <c r="VII34" s="672"/>
      <c r="VIJ34" s="672"/>
      <c r="VIK34" s="672"/>
      <c r="VIL34" s="672"/>
      <c r="VIM34" s="672"/>
      <c r="VIN34" s="672"/>
      <c r="VIO34" s="672"/>
      <c r="VIP34" s="672"/>
      <c r="VIQ34" s="672"/>
      <c r="VIR34" s="672"/>
      <c r="VIS34" s="672"/>
      <c r="VIT34" s="672"/>
      <c r="VIU34" s="672"/>
      <c r="VIV34" s="672"/>
      <c r="VIW34" s="672"/>
      <c r="VIX34" s="672"/>
      <c r="VIY34" s="672"/>
      <c r="VIZ34" s="672"/>
      <c r="VJA34" s="672"/>
      <c r="VJB34" s="672"/>
      <c r="VJC34" s="672"/>
      <c r="VJD34" s="672"/>
      <c r="VJE34" s="672"/>
      <c r="VJF34" s="672"/>
      <c r="VJG34" s="672"/>
      <c r="VJH34" s="672"/>
      <c r="VJI34" s="672"/>
      <c r="VJJ34" s="672"/>
      <c r="VJK34" s="672"/>
      <c r="VJL34" s="672"/>
      <c r="VJM34" s="672"/>
      <c r="VJN34" s="672"/>
      <c r="VJO34" s="672"/>
      <c r="VJP34" s="672"/>
      <c r="VJQ34" s="672"/>
      <c r="VJR34" s="672"/>
      <c r="VJS34" s="672"/>
      <c r="VJT34" s="672"/>
      <c r="VJU34" s="672"/>
      <c r="VJV34" s="672"/>
      <c r="VJW34" s="672"/>
      <c r="VJX34" s="672"/>
      <c r="VJY34" s="672"/>
      <c r="VJZ34" s="672"/>
      <c r="VKA34" s="672"/>
      <c r="VKB34" s="672"/>
      <c r="VKC34" s="672"/>
      <c r="VKD34" s="672"/>
      <c r="VKE34" s="672"/>
      <c r="VKF34" s="672"/>
      <c r="VKG34" s="672"/>
      <c r="VKH34" s="672"/>
      <c r="VKI34" s="672"/>
      <c r="VKJ34" s="672"/>
      <c r="VKK34" s="672"/>
      <c r="VKL34" s="672"/>
      <c r="VKM34" s="672"/>
      <c r="VKN34" s="672"/>
      <c r="VKO34" s="672"/>
      <c r="VKP34" s="672"/>
      <c r="VKQ34" s="672"/>
      <c r="VKR34" s="672"/>
      <c r="VKS34" s="672"/>
      <c r="VKT34" s="672"/>
      <c r="VKU34" s="672"/>
      <c r="VKV34" s="672"/>
      <c r="VKW34" s="672"/>
      <c r="VKX34" s="672"/>
      <c r="VKY34" s="672"/>
      <c r="VKZ34" s="672"/>
      <c r="VLA34" s="672"/>
      <c r="VLB34" s="672"/>
      <c r="VLC34" s="672"/>
      <c r="VLD34" s="672"/>
      <c r="VLE34" s="672"/>
      <c r="VLF34" s="672"/>
      <c r="VLG34" s="672"/>
      <c r="VLH34" s="672"/>
      <c r="VLI34" s="672"/>
      <c r="VLJ34" s="672"/>
      <c r="VLK34" s="672"/>
      <c r="VLL34" s="672"/>
      <c r="VLM34" s="672"/>
      <c r="VLN34" s="672"/>
      <c r="VLO34" s="672"/>
      <c r="VLP34" s="672"/>
      <c r="VLQ34" s="672"/>
      <c r="VLR34" s="672"/>
      <c r="VLS34" s="672"/>
      <c r="VLT34" s="672"/>
      <c r="VLU34" s="672"/>
      <c r="VLV34" s="672"/>
      <c r="VLW34" s="672"/>
      <c r="VLX34" s="672"/>
      <c r="VLY34" s="672"/>
      <c r="VLZ34" s="672"/>
      <c r="VMA34" s="672"/>
      <c r="VMB34" s="672"/>
      <c r="VMC34" s="672"/>
      <c r="VMD34" s="672"/>
      <c r="VME34" s="672"/>
      <c r="VMF34" s="672"/>
      <c r="VMG34" s="672"/>
      <c r="VMH34" s="672"/>
      <c r="VMI34" s="672"/>
      <c r="VMJ34" s="672"/>
      <c r="VMK34" s="672"/>
      <c r="VML34" s="672"/>
      <c r="VMM34" s="672"/>
      <c r="VMN34" s="672"/>
      <c r="VMO34" s="672"/>
      <c r="VMP34" s="672"/>
      <c r="VMQ34" s="672"/>
      <c r="VMR34" s="672"/>
      <c r="VMS34" s="672"/>
      <c r="VMT34" s="672"/>
      <c r="VMU34" s="672"/>
      <c r="VMV34" s="672"/>
      <c r="VMW34" s="672"/>
      <c r="VMX34" s="672"/>
      <c r="VMY34" s="672"/>
      <c r="VMZ34" s="672"/>
      <c r="VNA34" s="672"/>
      <c r="VNB34" s="672"/>
      <c r="VNC34" s="672"/>
      <c r="VND34" s="672"/>
      <c r="VNE34" s="672"/>
      <c r="VNF34" s="672"/>
      <c r="VNG34" s="672"/>
      <c r="VNH34" s="672"/>
      <c r="VNI34" s="672"/>
      <c r="VNJ34" s="672"/>
      <c r="VNK34" s="672"/>
      <c r="VNL34" s="672"/>
      <c r="VNM34" s="672"/>
      <c r="VNN34" s="672"/>
      <c r="VNO34" s="672"/>
      <c r="VNP34" s="672"/>
      <c r="VNQ34" s="672"/>
      <c r="VNR34" s="672"/>
      <c r="VNS34" s="672"/>
      <c r="VNT34" s="672"/>
      <c r="VNU34" s="672"/>
      <c r="VNV34" s="672"/>
      <c r="VNW34" s="672"/>
      <c r="VNX34" s="672"/>
      <c r="VNY34" s="672"/>
      <c r="VNZ34" s="672"/>
      <c r="VOA34" s="672"/>
      <c r="VOB34" s="672"/>
      <c r="VOC34" s="672"/>
      <c r="VOD34" s="672"/>
      <c r="VOE34" s="672"/>
      <c r="VOF34" s="672"/>
      <c r="VOG34" s="672"/>
      <c r="VOH34" s="672"/>
      <c r="VOI34" s="672"/>
      <c r="VOJ34" s="672"/>
      <c r="VOK34" s="672"/>
      <c r="VOL34" s="672"/>
      <c r="VOM34" s="672"/>
      <c r="VON34" s="672"/>
      <c r="VOO34" s="672"/>
      <c r="VOP34" s="672"/>
      <c r="VOQ34" s="672"/>
      <c r="VOR34" s="672"/>
      <c r="VOS34" s="672"/>
      <c r="VOT34" s="672"/>
      <c r="VOU34" s="672"/>
      <c r="VOV34" s="672"/>
      <c r="VOW34" s="672"/>
      <c r="VOX34" s="672"/>
      <c r="VOY34" s="672"/>
      <c r="VOZ34" s="672"/>
      <c r="VPA34" s="672"/>
      <c r="VPB34" s="672"/>
      <c r="VPC34" s="672"/>
      <c r="VPD34" s="672"/>
      <c r="VPE34" s="672"/>
      <c r="VPF34" s="672"/>
      <c r="VPG34" s="672"/>
      <c r="VPH34" s="672"/>
      <c r="VPI34" s="672"/>
      <c r="VPJ34" s="672"/>
      <c r="VPK34" s="672"/>
      <c r="VPL34" s="672"/>
      <c r="VPM34" s="672"/>
      <c r="VPN34" s="672"/>
      <c r="VPO34" s="672"/>
      <c r="VPP34" s="672"/>
      <c r="VPQ34" s="672"/>
      <c r="VPR34" s="672"/>
      <c r="VPS34" s="672"/>
      <c r="VPT34" s="672"/>
      <c r="VPU34" s="672"/>
      <c r="VPV34" s="672"/>
      <c r="VPW34" s="672"/>
      <c r="VPX34" s="672"/>
      <c r="VPY34" s="672"/>
      <c r="VPZ34" s="672"/>
      <c r="VQA34" s="672"/>
      <c r="VQB34" s="672"/>
      <c r="VQC34" s="672"/>
      <c r="VQD34" s="672"/>
      <c r="VQE34" s="672"/>
      <c r="VQF34" s="672"/>
      <c r="VQG34" s="672"/>
      <c r="VQH34" s="672"/>
      <c r="VQI34" s="672"/>
      <c r="VQJ34" s="672"/>
      <c r="VQK34" s="672"/>
      <c r="VQL34" s="672"/>
      <c r="VQM34" s="672"/>
      <c r="VQN34" s="672"/>
      <c r="VQO34" s="672"/>
      <c r="VQP34" s="672"/>
      <c r="VQQ34" s="672"/>
      <c r="VQR34" s="672"/>
      <c r="VQS34" s="672"/>
      <c r="VQT34" s="672"/>
      <c r="VQU34" s="672"/>
      <c r="VQV34" s="672"/>
      <c r="VQW34" s="672"/>
      <c r="VQX34" s="672"/>
      <c r="VQY34" s="672"/>
      <c r="VQZ34" s="672"/>
      <c r="VRA34" s="672"/>
      <c r="VRB34" s="672"/>
      <c r="VRC34" s="672"/>
      <c r="VRD34" s="672"/>
      <c r="VRE34" s="672"/>
      <c r="VRF34" s="672"/>
      <c r="VRG34" s="672"/>
      <c r="VRH34" s="672"/>
      <c r="VRI34" s="672"/>
      <c r="VRJ34" s="672"/>
      <c r="VRK34" s="672"/>
      <c r="VRL34" s="672"/>
      <c r="VRM34" s="672"/>
      <c r="VRN34" s="672"/>
      <c r="VRO34" s="672"/>
      <c r="VRP34" s="672"/>
      <c r="VRQ34" s="672"/>
      <c r="VRR34" s="672"/>
      <c r="VRS34" s="672"/>
      <c r="VRT34" s="672"/>
      <c r="VRU34" s="672"/>
      <c r="VRV34" s="672"/>
      <c r="VRW34" s="672"/>
      <c r="VRX34" s="672"/>
      <c r="VRY34" s="672"/>
      <c r="VRZ34" s="672"/>
      <c r="VSA34" s="672"/>
      <c r="VSB34" s="672"/>
      <c r="VSC34" s="672"/>
      <c r="VSD34" s="672"/>
      <c r="VSE34" s="672"/>
      <c r="VSF34" s="672"/>
      <c r="VSG34" s="672"/>
      <c r="VSH34" s="672"/>
      <c r="VSI34" s="672"/>
      <c r="VSJ34" s="672"/>
      <c r="VSK34" s="672"/>
      <c r="VSL34" s="672"/>
      <c r="VSM34" s="672"/>
      <c r="VSN34" s="672"/>
      <c r="VSO34" s="672"/>
      <c r="VSP34" s="672"/>
      <c r="VSQ34" s="672"/>
      <c r="VSR34" s="672"/>
      <c r="VSS34" s="672"/>
      <c r="VST34" s="672"/>
      <c r="VSU34" s="672"/>
      <c r="VSV34" s="672"/>
      <c r="VSW34" s="672"/>
      <c r="VSX34" s="672"/>
      <c r="VSY34" s="672"/>
      <c r="VSZ34" s="672"/>
      <c r="VTA34" s="672"/>
      <c r="VTB34" s="672"/>
      <c r="VTC34" s="672"/>
      <c r="VTD34" s="672"/>
      <c r="VTE34" s="672"/>
      <c r="VTF34" s="672"/>
      <c r="VTG34" s="672"/>
      <c r="VTH34" s="672"/>
      <c r="VTI34" s="672"/>
      <c r="VTJ34" s="672"/>
      <c r="VTK34" s="672"/>
      <c r="VTL34" s="672"/>
      <c r="VTM34" s="672"/>
      <c r="VTN34" s="672"/>
      <c r="VTO34" s="672"/>
      <c r="VTP34" s="672"/>
      <c r="VTQ34" s="672"/>
      <c r="VTR34" s="672"/>
      <c r="VTS34" s="672"/>
      <c r="VTT34" s="672"/>
      <c r="VTU34" s="672"/>
      <c r="VTV34" s="672"/>
      <c r="VTW34" s="672"/>
      <c r="VTX34" s="672"/>
      <c r="VTY34" s="672"/>
      <c r="VTZ34" s="672"/>
      <c r="VUA34" s="672"/>
      <c r="VUB34" s="672"/>
      <c r="VUC34" s="672"/>
      <c r="VUD34" s="672"/>
      <c r="VUE34" s="672"/>
      <c r="VUF34" s="672"/>
      <c r="VUG34" s="672"/>
      <c r="VUH34" s="672"/>
      <c r="VUI34" s="672"/>
      <c r="VUJ34" s="672"/>
      <c r="VUK34" s="672"/>
      <c r="VUL34" s="672"/>
      <c r="VUM34" s="672"/>
      <c r="VUN34" s="672"/>
      <c r="VUO34" s="672"/>
      <c r="VUP34" s="672"/>
      <c r="VUQ34" s="672"/>
      <c r="VUR34" s="672"/>
      <c r="VUS34" s="672"/>
      <c r="VUT34" s="672"/>
      <c r="VUU34" s="672"/>
      <c r="VUV34" s="672"/>
      <c r="VUW34" s="672"/>
      <c r="VUX34" s="672"/>
      <c r="VUY34" s="672"/>
      <c r="VUZ34" s="672"/>
      <c r="VVA34" s="672"/>
      <c r="VVB34" s="672"/>
      <c r="VVC34" s="672"/>
      <c r="VVD34" s="672"/>
      <c r="VVE34" s="672"/>
      <c r="VVF34" s="672"/>
      <c r="VVG34" s="672"/>
      <c r="VVH34" s="672"/>
      <c r="VVI34" s="672"/>
      <c r="VVJ34" s="672"/>
      <c r="VVK34" s="672"/>
      <c r="VVL34" s="672"/>
      <c r="VVM34" s="672"/>
      <c r="VVN34" s="672"/>
      <c r="VVO34" s="672"/>
      <c r="VVP34" s="672"/>
      <c r="VVQ34" s="672"/>
      <c r="VVR34" s="672"/>
      <c r="VVS34" s="672"/>
      <c r="VVT34" s="672"/>
      <c r="VVU34" s="672"/>
      <c r="VVV34" s="672"/>
      <c r="VVW34" s="672"/>
      <c r="VVX34" s="672"/>
      <c r="VVY34" s="672"/>
      <c r="VVZ34" s="672"/>
      <c r="VWA34" s="672"/>
      <c r="VWB34" s="672"/>
      <c r="VWC34" s="672"/>
      <c r="VWD34" s="672"/>
      <c r="VWE34" s="672"/>
      <c r="VWF34" s="672"/>
      <c r="VWG34" s="672"/>
      <c r="VWH34" s="672"/>
      <c r="VWI34" s="672"/>
      <c r="VWJ34" s="672"/>
      <c r="VWK34" s="672"/>
      <c r="VWL34" s="672"/>
      <c r="VWM34" s="672"/>
      <c r="VWN34" s="672"/>
      <c r="VWO34" s="672"/>
      <c r="VWP34" s="672"/>
      <c r="VWQ34" s="672"/>
      <c r="VWR34" s="672"/>
      <c r="VWS34" s="672"/>
      <c r="VWT34" s="672"/>
      <c r="VWU34" s="672"/>
      <c r="VWV34" s="672"/>
      <c r="VWW34" s="672"/>
      <c r="VWX34" s="672"/>
      <c r="VWY34" s="672"/>
      <c r="VWZ34" s="672"/>
      <c r="VXA34" s="672"/>
      <c r="VXB34" s="672"/>
      <c r="VXC34" s="672"/>
      <c r="VXD34" s="672"/>
      <c r="VXE34" s="672"/>
      <c r="VXF34" s="672"/>
      <c r="VXG34" s="672"/>
      <c r="VXH34" s="672"/>
      <c r="VXI34" s="672"/>
      <c r="VXJ34" s="672"/>
      <c r="VXK34" s="672"/>
      <c r="VXL34" s="672"/>
      <c r="VXM34" s="672"/>
      <c r="VXN34" s="672"/>
      <c r="VXO34" s="672"/>
      <c r="VXP34" s="672"/>
      <c r="VXQ34" s="672"/>
      <c r="VXR34" s="672"/>
      <c r="VXS34" s="672"/>
      <c r="VXT34" s="672"/>
      <c r="VXU34" s="672"/>
      <c r="VXV34" s="672"/>
      <c r="VXW34" s="672"/>
      <c r="VXX34" s="672"/>
      <c r="VXY34" s="672"/>
      <c r="VXZ34" s="672"/>
      <c r="VYA34" s="672"/>
      <c r="VYB34" s="672"/>
      <c r="VYC34" s="672"/>
      <c r="VYD34" s="672"/>
      <c r="VYE34" s="672"/>
      <c r="VYF34" s="672"/>
      <c r="VYG34" s="672"/>
      <c r="VYH34" s="672"/>
      <c r="VYI34" s="672"/>
      <c r="VYJ34" s="672"/>
      <c r="VYK34" s="672"/>
      <c r="VYL34" s="672"/>
      <c r="VYM34" s="672"/>
      <c r="VYN34" s="672"/>
      <c r="VYO34" s="672"/>
      <c r="VYP34" s="672"/>
      <c r="VYQ34" s="672"/>
      <c r="VYR34" s="672"/>
      <c r="VYS34" s="672"/>
      <c r="VYT34" s="672"/>
      <c r="VYU34" s="672"/>
      <c r="VYV34" s="672"/>
      <c r="VYW34" s="672"/>
      <c r="VYX34" s="672"/>
      <c r="VYY34" s="672"/>
      <c r="VYZ34" s="672"/>
      <c r="VZA34" s="672"/>
      <c r="VZB34" s="672"/>
      <c r="VZC34" s="672"/>
      <c r="VZD34" s="672"/>
      <c r="VZE34" s="672"/>
      <c r="VZF34" s="672"/>
      <c r="VZG34" s="672"/>
      <c r="VZH34" s="672"/>
      <c r="VZI34" s="672"/>
      <c r="VZJ34" s="672"/>
      <c r="VZK34" s="672"/>
      <c r="VZL34" s="672"/>
      <c r="VZM34" s="672"/>
      <c r="VZN34" s="672"/>
      <c r="VZO34" s="672"/>
      <c r="VZP34" s="672"/>
      <c r="VZQ34" s="672"/>
      <c r="VZR34" s="672"/>
      <c r="VZS34" s="672"/>
      <c r="VZT34" s="672"/>
      <c r="VZU34" s="672"/>
      <c r="VZV34" s="672"/>
      <c r="VZW34" s="672"/>
      <c r="VZX34" s="672"/>
      <c r="VZY34" s="672"/>
      <c r="VZZ34" s="672"/>
      <c r="WAA34" s="672"/>
      <c r="WAB34" s="672"/>
      <c r="WAC34" s="672"/>
      <c r="WAD34" s="672"/>
      <c r="WAE34" s="672"/>
      <c r="WAF34" s="672"/>
      <c r="WAG34" s="672"/>
      <c r="WAH34" s="672"/>
      <c r="WAI34" s="672"/>
      <c r="WAJ34" s="672"/>
      <c r="WAK34" s="672"/>
      <c r="WAL34" s="672"/>
      <c r="WAM34" s="672"/>
      <c r="WAN34" s="672"/>
      <c r="WAO34" s="672"/>
      <c r="WAP34" s="672"/>
      <c r="WAQ34" s="672"/>
      <c r="WAR34" s="672"/>
      <c r="WAS34" s="672"/>
      <c r="WAT34" s="672"/>
      <c r="WAU34" s="672"/>
      <c r="WAV34" s="672"/>
      <c r="WAW34" s="672"/>
      <c r="WAX34" s="672"/>
      <c r="WAY34" s="672"/>
      <c r="WAZ34" s="672"/>
      <c r="WBA34" s="672"/>
      <c r="WBB34" s="672"/>
      <c r="WBC34" s="672"/>
      <c r="WBD34" s="672"/>
      <c r="WBE34" s="672"/>
      <c r="WBF34" s="672"/>
      <c r="WBG34" s="672"/>
      <c r="WBH34" s="672"/>
      <c r="WBI34" s="672"/>
      <c r="WBJ34" s="672"/>
      <c r="WBK34" s="672"/>
      <c r="WBL34" s="672"/>
      <c r="WBM34" s="672"/>
      <c r="WBN34" s="672"/>
      <c r="WBO34" s="672"/>
      <c r="WBP34" s="672"/>
      <c r="WBQ34" s="672"/>
      <c r="WBR34" s="672"/>
      <c r="WBS34" s="672"/>
      <c r="WBT34" s="672"/>
      <c r="WBU34" s="672"/>
      <c r="WBV34" s="672"/>
      <c r="WBW34" s="672"/>
      <c r="WBX34" s="672"/>
      <c r="WBY34" s="672"/>
      <c r="WBZ34" s="672"/>
      <c r="WCA34" s="672"/>
      <c r="WCB34" s="672"/>
      <c r="WCC34" s="672"/>
      <c r="WCD34" s="672"/>
      <c r="WCE34" s="672"/>
      <c r="WCF34" s="672"/>
      <c r="WCG34" s="672"/>
      <c r="WCH34" s="672"/>
      <c r="WCI34" s="672"/>
      <c r="WCJ34" s="672"/>
      <c r="WCK34" s="672"/>
      <c r="WCL34" s="672"/>
      <c r="WCM34" s="672"/>
      <c r="WCN34" s="672"/>
      <c r="WCO34" s="672"/>
      <c r="WCP34" s="672"/>
      <c r="WCQ34" s="672"/>
      <c r="WCR34" s="672"/>
      <c r="WCS34" s="672"/>
      <c r="WCT34" s="672"/>
      <c r="WCU34" s="672"/>
      <c r="WCV34" s="672"/>
      <c r="WCW34" s="672"/>
      <c r="WCX34" s="672"/>
      <c r="WCY34" s="672"/>
      <c r="WCZ34" s="672"/>
      <c r="WDA34" s="672"/>
      <c r="WDB34" s="672"/>
      <c r="WDC34" s="672"/>
      <c r="WDD34" s="672"/>
      <c r="WDE34" s="672"/>
      <c r="WDF34" s="672"/>
      <c r="WDG34" s="672"/>
      <c r="WDH34" s="672"/>
      <c r="WDI34" s="672"/>
      <c r="WDJ34" s="672"/>
      <c r="WDK34" s="672"/>
      <c r="WDL34" s="672"/>
      <c r="WDM34" s="672"/>
      <c r="WDN34" s="672"/>
      <c r="WDO34" s="672"/>
      <c r="WDP34" s="672"/>
      <c r="WDQ34" s="672"/>
      <c r="WDR34" s="672"/>
      <c r="WDS34" s="672"/>
      <c r="WDT34" s="672"/>
      <c r="WDU34" s="672"/>
      <c r="WDV34" s="672"/>
      <c r="WDW34" s="672"/>
      <c r="WDX34" s="672"/>
      <c r="WDY34" s="672"/>
      <c r="WDZ34" s="672"/>
      <c r="WEA34" s="672"/>
      <c r="WEB34" s="672"/>
      <c r="WEC34" s="672"/>
      <c r="WED34" s="672"/>
      <c r="WEE34" s="672"/>
      <c r="WEF34" s="672"/>
      <c r="WEG34" s="672"/>
      <c r="WEH34" s="672"/>
      <c r="WEI34" s="672"/>
      <c r="WEJ34" s="672"/>
      <c r="WEK34" s="672"/>
      <c r="WEL34" s="672"/>
      <c r="WEM34" s="672"/>
      <c r="WEN34" s="672"/>
      <c r="WEO34" s="672"/>
      <c r="WEP34" s="672"/>
      <c r="WEQ34" s="672"/>
      <c r="WER34" s="672"/>
      <c r="WES34" s="672"/>
      <c r="WET34" s="672"/>
      <c r="WEU34" s="672"/>
      <c r="WEV34" s="672"/>
      <c r="WEW34" s="672"/>
      <c r="WEX34" s="672"/>
      <c r="WEY34" s="672"/>
      <c r="WEZ34" s="672"/>
      <c r="WFA34" s="672"/>
      <c r="WFB34" s="672"/>
      <c r="WFC34" s="672"/>
      <c r="WFD34" s="672"/>
      <c r="WFE34" s="672"/>
      <c r="WFF34" s="672"/>
      <c r="WFG34" s="672"/>
      <c r="WFH34" s="672"/>
      <c r="WFI34" s="672"/>
      <c r="WFJ34" s="672"/>
      <c r="WFK34" s="672"/>
      <c r="WFL34" s="672"/>
      <c r="WFM34" s="672"/>
      <c r="WFN34" s="672"/>
      <c r="WFO34" s="672"/>
      <c r="WFP34" s="672"/>
      <c r="WFQ34" s="672"/>
      <c r="WFR34" s="672"/>
      <c r="WFS34" s="672"/>
      <c r="WFT34" s="672"/>
      <c r="WFU34" s="672"/>
      <c r="WFV34" s="672"/>
      <c r="WFW34" s="672"/>
      <c r="WFX34" s="672"/>
      <c r="WFY34" s="672"/>
      <c r="WFZ34" s="672"/>
      <c r="WGA34" s="672"/>
      <c r="WGB34" s="672"/>
      <c r="WGC34" s="672"/>
      <c r="WGD34" s="672"/>
      <c r="WGE34" s="672"/>
      <c r="WGF34" s="672"/>
      <c r="WGG34" s="672"/>
      <c r="WGH34" s="672"/>
      <c r="WGI34" s="672"/>
      <c r="WGJ34" s="672"/>
      <c r="WGK34" s="672"/>
      <c r="WGL34" s="672"/>
      <c r="WGM34" s="672"/>
      <c r="WGN34" s="672"/>
      <c r="WGO34" s="672"/>
      <c r="WGP34" s="672"/>
      <c r="WGQ34" s="672"/>
      <c r="WGR34" s="672"/>
      <c r="WGS34" s="672"/>
      <c r="WGT34" s="672"/>
      <c r="WGU34" s="672"/>
      <c r="WGV34" s="672"/>
      <c r="WGW34" s="672"/>
      <c r="WGX34" s="672"/>
      <c r="WGY34" s="672"/>
      <c r="WGZ34" s="672"/>
      <c r="WHA34" s="672"/>
      <c r="WHB34" s="672"/>
      <c r="WHC34" s="672"/>
      <c r="WHD34" s="672"/>
      <c r="WHE34" s="672"/>
      <c r="WHF34" s="672"/>
      <c r="WHG34" s="672"/>
      <c r="WHH34" s="672"/>
      <c r="WHI34" s="672"/>
      <c r="WHJ34" s="672"/>
      <c r="WHK34" s="672"/>
      <c r="WHL34" s="672"/>
      <c r="WHM34" s="672"/>
      <c r="WHN34" s="672"/>
      <c r="WHO34" s="672"/>
      <c r="WHP34" s="672"/>
      <c r="WHQ34" s="672"/>
      <c r="WHR34" s="672"/>
      <c r="WHS34" s="672"/>
      <c r="WHT34" s="672"/>
      <c r="WHU34" s="672"/>
      <c r="WHV34" s="672"/>
      <c r="WHW34" s="672"/>
      <c r="WHX34" s="672"/>
      <c r="WHY34" s="672"/>
      <c r="WHZ34" s="672"/>
      <c r="WIA34" s="672"/>
      <c r="WIB34" s="672"/>
      <c r="WIC34" s="672"/>
      <c r="WID34" s="672"/>
      <c r="WIE34" s="672"/>
      <c r="WIF34" s="672"/>
      <c r="WIG34" s="672"/>
      <c r="WIH34" s="672"/>
      <c r="WII34" s="672"/>
      <c r="WIJ34" s="672"/>
      <c r="WIK34" s="672"/>
      <c r="WIL34" s="672"/>
      <c r="WIM34" s="672"/>
      <c r="WIN34" s="672"/>
      <c r="WIO34" s="672"/>
      <c r="WIP34" s="672"/>
      <c r="WIQ34" s="672"/>
      <c r="WIR34" s="672"/>
      <c r="WIS34" s="672"/>
      <c r="WIT34" s="672"/>
      <c r="WIU34" s="672"/>
      <c r="WIV34" s="672"/>
      <c r="WIW34" s="672"/>
      <c r="WIX34" s="672"/>
      <c r="WIY34" s="672"/>
      <c r="WIZ34" s="672"/>
      <c r="WJA34" s="672"/>
      <c r="WJB34" s="672"/>
      <c r="WJC34" s="672"/>
      <c r="WJD34" s="672"/>
      <c r="WJE34" s="672"/>
      <c r="WJF34" s="672"/>
      <c r="WJG34" s="672"/>
      <c r="WJH34" s="672"/>
      <c r="WJI34" s="672"/>
      <c r="WJJ34" s="672"/>
      <c r="WJK34" s="672"/>
      <c r="WJL34" s="672"/>
      <c r="WJM34" s="672"/>
      <c r="WJN34" s="672"/>
      <c r="WJO34" s="672"/>
      <c r="WJP34" s="672"/>
      <c r="WJQ34" s="672"/>
      <c r="WJR34" s="672"/>
      <c r="WJS34" s="672"/>
      <c r="WJT34" s="672"/>
      <c r="WJU34" s="672"/>
      <c r="WJV34" s="672"/>
      <c r="WJW34" s="672"/>
      <c r="WJX34" s="672"/>
      <c r="WJY34" s="672"/>
      <c r="WJZ34" s="672"/>
      <c r="WKA34" s="672"/>
      <c r="WKB34" s="672"/>
      <c r="WKC34" s="672"/>
      <c r="WKD34" s="672"/>
      <c r="WKE34" s="672"/>
      <c r="WKF34" s="672"/>
      <c r="WKG34" s="672"/>
      <c r="WKH34" s="672"/>
      <c r="WKI34" s="672"/>
      <c r="WKJ34" s="672"/>
      <c r="WKK34" s="672"/>
      <c r="WKL34" s="672"/>
      <c r="WKM34" s="672"/>
      <c r="WKN34" s="672"/>
      <c r="WKO34" s="672"/>
      <c r="WKP34" s="672"/>
      <c r="WKQ34" s="672"/>
      <c r="WKR34" s="672"/>
      <c r="WKS34" s="672"/>
      <c r="WKT34" s="672"/>
      <c r="WKU34" s="672"/>
      <c r="WKV34" s="672"/>
      <c r="WKW34" s="672"/>
      <c r="WKX34" s="672"/>
      <c r="WKY34" s="672"/>
      <c r="WKZ34" s="672"/>
      <c r="WLA34" s="672"/>
      <c r="WLB34" s="672"/>
      <c r="WLC34" s="672"/>
      <c r="WLD34" s="672"/>
      <c r="WLE34" s="672"/>
      <c r="WLF34" s="672"/>
      <c r="WLG34" s="672"/>
      <c r="WLH34" s="672"/>
      <c r="WLI34" s="672"/>
      <c r="WLJ34" s="672"/>
      <c r="WLK34" s="672"/>
      <c r="WLL34" s="672"/>
      <c r="WLM34" s="672"/>
      <c r="WLN34" s="672"/>
      <c r="WLO34" s="672"/>
      <c r="WLP34" s="672"/>
      <c r="WLQ34" s="672"/>
      <c r="WLR34" s="672"/>
      <c r="WLS34" s="672"/>
      <c r="WLT34" s="672"/>
      <c r="WLU34" s="672"/>
      <c r="WLV34" s="672"/>
      <c r="WLW34" s="672"/>
      <c r="WLX34" s="672"/>
      <c r="WLY34" s="672"/>
      <c r="WLZ34" s="672"/>
      <c r="WMA34" s="672"/>
      <c r="WMB34" s="672"/>
      <c r="WMC34" s="672"/>
      <c r="WMD34" s="672"/>
      <c r="WME34" s="672"/>
      <c r="WMF34" s="672"/>
      <c r="WMG34" s="672"/>
      <c r="WMH34" s="672"/>
      <c r="WMI34" s="672"/>
      <c r="WMJ34" s="672"/>
      <c r="WMK34" s="672"/>
      <c r="WML34" s="672"/>
      <c r="WMM34" s="672"/>
      <c r="WMN34" s="672"/>
      <c r="WMO34" s="672"/>
      <c r="WMP34" s="672"/>
      <c r="WMQ34" s="672"/>
      <c r="WMR34" s="672"/>
      <c r="WMS34" s="672"/>
      <c r="WMT34" s="672"/>
      <c r="WMU34" s="672"/>
      <c r="WMV34" s="672"/>
      <c r="WMW34" s="672"/>
      <c r="WMX34" s="672"/>
      <c r="WMY34" s="672"/>
      <c r="WMZ34" s="672"/>
      <c r="WNA34" s="672"/>
      <c r="WNB34" s="672"/>
      <c r="WNC34" s="672"/>
      <c r="WND34" s="672"/>
      <c r="WNE34" s="672"/>
      <c r="WNF34" s="672"/>
      <c r="WNG34" s="672"/>
      <c r="WNH34" s="672"/>
      <c r="WNI34" s="672"/>
      <c r="WNJ34" s="672"/>
      <c r="WNK34" s="672"/>
      <c r="WNL34" s="672"/>
      <c r="WNM34" s="672"/>
      <c r="WNN34" s="672"/>
      <c r="WNO34" s="672"/>
      <c r="WNP34" s="672"/>
      <c r="WNQ34" s="672"/>
      <c r="WNR34" s="672"/>
      <c r="WNS34" s="672"/>
      <c r="WNT34" s="672"/>
      <c r="WNU34" s="672"/>
      <c r="WNV34" s="672"/>
      <c r="WNW34" s="672"/>
      <c r="WNX34" s="672"/>
      <c r="WNY34" s="672"/>
      <c r="WNZ34" s="672"/>
      <c r="WOA34" s="672"/>
      <c r="WOB34" s="672"/>
      <c r="WOC34" s="672"/>
      <c r="WOD34" s="672"/>
      <c r="WOE34" s="672"/>
      <c r="WOF34" s="672"/>
      <c r="WOG34" s="672"/>
      <c r="WOH34" s="672"/>
      <c r="WOI34" s="672"/>
      <c r="WOJ34" s="672"/>
      <c r="WOK34" s="672"/>
      <c r="WOL34" s="672"/>
      <c r="WOM34" s="672"/>
      <c r="WON34" s="672"/>
      <c r="WOO34" s="672"/>
      <c r="WOP34" s="672"/>
      <c r="WOQ34" s="672"/>
      <c r="WOR34" s="672"/>
      <c r="WOS34" s="672"/>
      <c r="WOT34" s="672"/>
      <c r="WOU34" s="672"/>
      <c r="WOV34" s="672"/>
      <c r="WOW34" s="672"/>
      <c r="WOX34" s="672"/>
      <c r="WOY34" s="672"/>
      <c r="WOZ34" s="672"/>
      <c r="WPA34" s="672"/>
      <c r="WPB34" s="672"/>
      <c r="WPC34" s="672"/>
      <c r="WPD34" s="672"/>
      <c r="WPE34" s="672"/>
      <c r="WPF34" s="672"/>
      <c r="WPG34" s="672"/>
      <c r="WPH34" s="672"/>
      <c r="WPI34" s="672"/>
      <c r="WPJ34" s="672"/>
      <c r="WPK34" s="672"/>
      <c r="WPL34" s="672"/>
      <c r="WPM34" s="672"/>
      <c r="WPN34" s="672"/>
      <c r="WPO34" s="672"/>
      <c r="WPP34" s="672"/>
      <c r="WPQ34" s="672"/>
      <c r="WPR34" s="672"/>
      <c r="WPS34" s="672"/>
      <c r="WPT34" s="672"/>
      <c r="WPU34" s="672"/>
      <c r="WPV34" s="672"/>
      <c r="WPW34" s="672"/>
      <c r="WPX34" s="672"/>
      <c r="WPY34" s="672"/>
      <c r="WPZ34" s="672"/>
      <c r="WQA34" s="672"/>
      <c r="WQB34" s="672"/>
      <c r="WQC34" s="672"/>
      <c r="WQD34" s="672"/>
      <c r="WQE34" s="672"/>
      <c r="WQF34" s="672"/>
      <c r="WQG34" s="672"/>
      <c r="WQH34" s="672"/>
      <c r="WQI34" s="672"/>
      <c r="WQJ34" s="672"/>
      <c r="WQK34" s="672"/>
      <c r="WQL34" s="672"/>
      <c r="WQM34" s="672"/>
      <c r="WQN34" s="672"/>
      <c r="WQO34" s="672"/>
      <c r="WQP34" s="672"/>
      <c r="WQQ34" s="672"/>
      <c r="WQR34" s="672"/>
      <c r="WQS34" s="672"/>
      <c r="WQT34" s="672"/>
      <c r="WQU34" s="672"/>
      <c r="WQV34" s="672"/>
      <c r="WQW34" s="672"/>
      <c r="WQX34" s="672"/>
      <c r="WQY34" s="672"/>
      <c r="WQZ34" s="672"/>
      <c r="WRA34" s="672"/>
      <c r="WRB34" s="672"/>
      <c r="WRC34" s="672"/>
      <c r="WRD34" s="672"/>
      <c r="WRE34" s="672"/>
      <c r="WRF34" s="672"/>
      <c r="WRG34" s="672"/>
      <c r="WRH34" s="672"/>
      <c r="WRI34" s="672"/>
      <c r="WRJ34" s="672"/>
      <c r="WRK34" s="672"/>
      <c r="WRL34" s="672"/>
      <c r="WRM34" s="672"/>
      <c r="WRN34" s="672"/>
      <c r="WRO34" s="672"/>
      <c r="WRP34" s="672"/>
      <c r="WRQ34" s="672"/>
      <c r="WRR34" s="672"/>
      <c r="WRS34" s="672"/>
      <c r="WRT34" s="672"/>
      <c r="WRU34" s="672"/>
      <c r="WRV34" s="672"/>
      <c r="WRW34" s="672"/>
      <c r="WRX34" s="672"/>
      <c r="WRY34" s="672"/>
      <c r="WRZ34" s="672"/>
      <c r="WSA34" s="672"/>
      <c r="WSB34" s="672"/>
      <c r="WSC34" s="672"/>
      <c r="WSD34" s="672"/>
      <c r="WSE34" s="672"/>
      <c r="WSF34" s="672"/>
      <c r="WSG34" s="672"/>
      <c r="WSH34" s="672"/>
      <c r="WSI34" s="672"/>
      <c r="WSJ34" s="672"/>
      <c r="WSK34" s="672"/>
      <c r="WSL34" s="672"/>
      <c r="WSM34" s="672"/>
      <c r="WSN34" s="672"/>
      <c r="WSO34" s="672"/>
      <c r="WSP34" s="672"/>
      <c r="WSQ34" s="672"/>
      <c r="WSR34" s="672"/>
      <c r="WSS34" s="672"/>
      <c r="WST34" s="672"/>
      <c r="WSU34" s="672"/>
      <c r="WSV34" s="672"/>
      <c r="WSW34" s="672"/>
      <c r="WSX34" s="672"/>
      <c r="WSY34" s="672"/>
      <c r="WSZ34" s="672"/>
      <c r="WTA34" s="672"/>
      <c r="WTB34" s="672"/>
      <c r="WTC34" s="672"/>
      <c r="WTD34" s="672"/>
      <c r="WTE34" s="672"/>
      <c r="WTF34" s="672"/>
      <c r="WTG34" s="672"/>
      <c r="WTH34" s="672"/>
      <c r="WTI34" s="672"/>
      <c r="WTJ34" s="672"/>
      <c r="WTK34" s="672"/>
      <c r="WTL34" s="672"/>
      <c r="WTM34" s="672"/>
      <c r="WTN34" s="672"/>
      <c r="WTO34" s="672"/>
      <c r="WTP34" s="672"/>
      <c r="WTQ34" s="672"/>
      <c r="WTR34" s="672"/>
      <c r="WTS34" s="672"/>
      <c r="WTT34" s="672"/>
      <c r="WTU34" s="672"/>
      <c r="WTV34" s="672"/>
      <c r="WTW34" s="672"/>
      <c r="WTX34" s="672"/>
      <c r="WTY34" s="672"/>
      <c r="WTZ34" s="672"/>
      <c r="WUA34" s="672"/>
      <c r="WUB34" s="672"/>
      <c r="WUC34" s="672"/>
      <c r="WUD34" s="672"/>
      <c r="WUE34" s="672"/>
      <c r="WUF34" s="672"/>
      <c r="WUG34" s="672"/>
      <c r="WUH34" s="672"/>
      <c r="WUI34" s="672"/>
      <c r="WUJ34" s="672"/>
      <c r="WUK34" s="672"/>
      <c r="WUL34" s="672"/>
      <c r="WUM34" s="672"/>
      <c r="WUN34" s="672"/>
      <c r="WUO34" s="672"/>
      <c r="WUP34" s="672"/>
      <c r="WUQ34" s="672"/>
      <c r="WUR34" s="672"/>
      <c r="WUS34" s="672"/>
      <c r="WUT34" s="672"/>
      <c r="WUU34" s="672"/>
      <c r="WUV34" s="672"/>
      <c r="WUW34" s="672"/>
      <c r="WUX34" s="672"/>
      <c r="WUY34" s="672"/>
      <c r="WUZ34" s="672"/>
      <c r="WVA34" s="672"/>
      <c r="WVB34" s="672"/>
      <c r="WVC34" s="672"/>
      <c r="WVD34" s="672"/>
      <c r="WVE34" s="672"/>
      <c r="WVF34" s="672"/>
      <c r="WVG34" s="672"/>
      <c r="WVH34" s="672"/>
      <c r="WVI34" s="672"/>
      <c r="WVJ34" s="672"/>
      <c r="WVK34" s="672"/>
      <c r="WVL34" s="672"/>
      <c r="WVM34" s="672"/>
      <c r="WVN34" s="672"/>
      <c r="WVO34" s="672"/>
      <c r="WVP34" s="672"/>
      <c r="WVQ34" s="672"/>
      <c r="WVR34" s="672"/>
      <c r="WVS34" s="672"/>
      <c r="WVT34" s="672"/>
      <c r="WVU34" s="672"/>
      <c r="WVV34" s="672"/>
      <c r="WVW34" s="672"/>
      <c r="WVX34" s="672"/>
      <c r="WVY34" s="672"/>
      <c r="WVZ34" s="672"/>
      <c r="WWA34" s="672"/>
      <c r="WWB34" s="672"/>
      <c r="WWC34" s="672"/>
      <c r="WWD34" s="672"/>
      <c r="WWE34" s="672"/>
      <c r="WWF34" s="672"/>
      <c r="WWG34" s="672"/>
      <c r="WWH34" s="672"/>
      <c r="WWI34" s="672"/>
      <c r="WWJ34" s="672"/>
      <c r="WWK34" s="672"/>
      <c r="WWL34" s="672"/>
      <c r="WWM34" s="672"/>
      <c r="WWN34" s="672"/>
      <c r="WWO34" s="672"/>
      <c r="WWP34" s="672"/>
      <c r="WWQ34" s="672"/>
      <c r="WWR34" s="672"/>
      <c r="WWS34" s="672"/>
      <c r="WWT34" s="672"/>
      <c r="WWU34" s="672"/>
      <c r="WWV34" s="672"/>
      <c r="WWW34" s="672"/>
      <c r="WWX34" s="672"/>
      <c r="WWY34" s="672"/>
      <c r="WWZ34" s="672"/>
      <c r="WXA34" s="672"/>
      <c r="WXB34" s="672"/>
      <c r="WXC34" s="672"/>
      <c r="WXD34" s="672"/>
      <c r="WXE34" s="672"/>
      <c r="WXF34" s="672"/>
      <c r="WXG34" s="672"/>
      <c r="WXH34" s="672"/>
      <c r="WXI34" s="672"/>
      <c r="WXJ34" s="672"/>
      <c r="WXK34" s="672"/>
      <c r="WXL34" s="672"/>
      <c r="WXM34" s="672"/>
      <c r="WXN34" s="672"/>
      <c r="WXO34" s="672"/>
      <c r="WXP34" s="672"/>
      <c r="WXQ34" s="672"/>
      <c r="WXR34" s="672"/>
      <c r="WXS34" s="672"/>
      <c r="WXT34" s="672"/>
      <c r="WXU34" s="672"/>
      <c r="WXV34" s="672"/>
      <c r="WXW34" s="672"/>
      <c r="WXX34" s="672"/>
      <c r="WXY34" s="672"/>
      <c r="WXZ34" s="672"/>
      <c r="WYA34" s="672"/>
      <c r="WYB34" s="672"/>
      <c r="WYC34" s="672"/>
      <c r="WYD34" s="672"/>
      <c r="WYE34" s="672"/>
      <c r="WYF34" s="672"/>
      <c r="WYG34" s="672"/>
      <c r="WYH34" s="672"/>
      <c r="WYI34" s="672"/>
      <c r="WYJ34" s="672"/>
      <c r="WYK34" s="672"/>
      <c r="WYL34" s="672"/>
      <c r="WYM34" s="672"/>
      <c r="WYN34" s="672"/>
      <c r="WYO34" s="672"/>
      <c r="WYP34" s="672"/>
      <c r="WYQ34" s="672"/>
      <c r="WYR34" s="672"/>
      <c r="WYS34" s="672"/>
      <c r="WYT34" s="672"/>
      <c r="WYU34" s="672"/>
      <c r="WYV34" s="672"/>
      <c r="WYW34" s="672"/>
      <c r="WYX34" s="672"/>
      <c r="WYY34" s="672"/>
      <c r="WYZ34" s="672"/>
      <c r="WZA34" s="672"/>
      <c r="WZB34" s="672"/>
      <c r="WZC34" s="672"/>
      <c r="WZD34" s="672"/>
      <c r="WZE34" s="672"/>
      <c r="WZF34" s="672"/>
      <c r="WZG34" s="672"/>
      <c r="WZH34" s="672"/>
      <c r="WZI34" s="672"/>
      <c r="WZJ34" s="672"/>
      <c r="WZK34" s="672"/>
      <c r="WZL34" s="672"/>
      <c r="WZM34" s="672"/>
      <c r="WZN34" s="672"/>
      <c r="WZO34" s="672"/>
      <c r="WZP34" s="672"/>
      <c r="WZQ34" s="672"/>
      <c r="WZR34" s="672"/>
      <c r="WZS34" s="672"/>
      <c r="WZT34" s="672"/>
      <c r="WZU34" s="672"/>
      <c r="WZV34" s="672"/>
      <c r="WZW34" s="672"/>
      <c r="WZX34" s="672"/>
      <c r="WZY34" s="672"/>
      <c r="WZZ34" s="672"/>
      <c r="XAA34" s="672"/>
      <c r="XAB34" s="672"/>
      <c r="XAC34" s="672"/>
      <c r="XAD34" s="672"/>
      <c r="XAE34" s="672"/>
      <c r="XAF34" s="672"/>
      <c r="XAG34" s="672"/>
      <c r="XAH34" s="672"/>
      <c r="XAI34" s="672"/>
      <c r="XAJ34" s="672"/>
      <c r="XAK34" s="672"/>
      <c r="XAL34" s="672"/>
      <c r="XAM34" s="672"/>
      <c r="XAN34" s="672"/>
      <c r="XAO34" s="672"/>
      <c r="XAP34" s="672"/>
      <c r="XAQ34" s="672"/>
      <c r="XAR34" s="672"/>
      <c r="XAS34" s="672"/>
      <c r="XAT34" s="672"/>
      <c r="XAU34" s="672"/>
      <c r="XAV34" s="672"/>
      <c r="XAW34" s="672"/>
      <c r="XAX34" s="672"/>
      <c r="XAY34" s="672"/>
      <c r="XAZ34" s="672"/>
      <c r="XBA34" s="672"/>
      <c r="XBB34" s="672"/>
      <c r="XBC34" s="672"/>
      <c r="XBD34" s="672"/>
      <c r="XBE34" s="672"/>
      <c r="XBF34" s="672"/>
      <c r="XBG34" s="672"/>
      <c r="XBH34" s="672"/>
      <c r="XBI34" s="672"/>
      <c r="XBJ34" s="672"/>
      <c r="XBK34" s="672"/>
      <c r="XBL34" s="672"/>
      <c r="XBM34" s="672"/>
      <c r="XBN34" s="672"/>
      <c r="XBO34" s="672"/>
      <c r="XBP34" s="672"/>
      <c r="XBQ34" s="672"/>
      <c r="XBR34" s="672"/>
      <c r="XBS34" s="672"/>
      <c r="XBT34" s="672"/>
      <c r="XBU34" s="672"/>
      <c r="XBV34" s="672"/>
      <c r="XBW34" s="672"/>
      <c r="XBX34" s="672"/>
      <c r="XBY34" s="672"/>
      <c r="XBZ34" s="672"/>
      <c r="XCA34" s="672"/>
      <c r="XCB34" s="672"/>
      <c r="XCC34" s="672"/>
      <c r="XCD34" s="672"/>
      <c r="XCE34" s="672"/>
      <c r="XCF34" s="672"/>
      <c r="XCG34" s="672"/>
      <c r="XCH34" s="672"/>
      <c r="XCI34" s="672"/>
      <c r="XCJ34" s="672"/>
      <c r="XCK34" s="672"/>
      <c r="XCL34" s="672"/>
      <c r="XCM34" s="672"/>
      <c r="XCN34" s="672"/>
      <c r="XCO34" s="672"/>
      <c r="XCP34" s="672"/>
      <c r="XCQ34" s="672"/>
      <c r="XCR34" s="672"/>
      <c r="XCS34" s="672"/>
      <c r="XCT34" s="672"/>
      <c r="XCU34" s="672"/>
      <c r="XCV34" s="672"/>
      <c r="XCW34" s="672"/>
      <c r="XCX34" s="672"/>
      <c r="XCY34" s="672"/>
      <c r="XCZ34" s="672"/>
      <c r="XDA34" s="672"/>
      <c r="XDB34" s="672"/>
      <c r="XDC34" s="672"/>
      <c r="XDD34" s="672"/>
      <c r="XDE34" s="672"/>
      <c r="XDF34" s="672"/>
      <c r="XDG34" s="672"/>
      <c r="XDH34" s="672"/>
      <c r="XDI34" s="672"/>
      <c r="XDJ34" s="672"/>
      <c r="XDK34" s="672"/>
      <c r="XDL34" s="672"/>
      <c r="XDM34" s="672"/>
      <c r="XDN34" s="672"/>
      <c r="XDO34" s="672"/>
      <c r="XDP34" s="672"/>
      <c r="XDQ34" s="672"/>
      <c r="XDR34" s="672"/>
      <c r="XDS34" s="672"/>
      <c r="XDT34" s="672"/>
      <c r="XDU34" s="672"/>
      <c r="XDV34" s="672"/>
      <c r="XDW34" s="672"/>
      <c r="XDX34" s="672"/>
      <c r="XDY34" s="672"/>
      <c r="XDZ34" s="672"/>
      <c r="XEA34" s="672"/>
      <c r="XEB34" s="672"/>
      <c r="XEC34" s="672"/>
      <c r="XED34" s="672"/>
      <c r="XEE34" s="672"/>
      <c r="XEF34" s="672"/>
      <c r="XEG34" s="672"/>
      <c r="XEH34" s="672"/>
      <c r="XEI34" s="672"/>
      <c r="XEJ34" s="672"/>
      <c r="XEK34" s="672"/>
      <c r="XEL34" s="672"/>
      <c r="XEM34" s="672"/>
      <c r="XEN34" s="672"/>
      <c r="XEO34" s="672"/>
      <c r="XEP34" s="672"/>
      <c r="XEQ34" s="672"/>
      <c r="XER34" s="672"/>
      <c r="XES34" s="672"/>
      <c r="XET34" s="672"/>
      <c r="XEU34" s="672"/>
      <c r="XEV34" s="672"/>
      <c r="XEW34" s="672"/>
      <c r="XEX34" s="672"/>
      <c r="XEY34" s="672"/>
      <c r="XEZ34" s="672"/>
      <c r="XFA34" s="672"/>
      <c r="XFB34" s="672"/>
      <c r="XFC34" s="672"/>
      <c r="XFD34" s="672"/>
    </row>
    <row r="36" spans="1:16384" ht="18" x14ac:dyDescent="0.45">
      <c r="A36" s="35" t="s">
        <v>756</v>
      </c>
      <c r="H36" s="36"/>
    </row>
    <row r="74" spans="1:6" ht="17.149999999999999" customHeight="1" x14ac:dyDescent="0.35"/>
    <row r="75" spans="1:6" ht="17.149999999999999" customHeight="1" x14ac:dyDescent="0.35"/>
    <row r="76" spans="1:6" ht="17.149999999999999" customHeight="1" x14ac:dyDescent="0.35"/>
    <row r="77" spans="1:6" ht="17.149999999999999" customHeight="1" x14ac:dyDescent="0.35"/>
    <row r="78" spans="1:6" ht="17.149999999999999" customHeight="1" x14ac:dyDescent="0.35">
      <c r="A78" s="35" t="s">
        <v>752</v>
      </c>
      <c r="F78" s="35" t="s">
        <v>753</v>
      </c>
    </row>
    <row r="104" spans="1:6" x14ac:dyDescent="0.35">
      <c r="A104" s="35" t="s">
        <v>754</v>
      </c>
      <c r="F104" s="35" t="s">
        <v>755</v>
      </c>
    </row>
  </sheetData>
  <sheetProtection algorithmName="SHA-512" hashValue="6FA99/9XT7ufcRg1+5BgLLrSuKn2AbZDJ2kEX1gpRfuQrFY+nSNmic/9UFhe7mPigIRmGd9bftP85gCszpylQA==" saltValue="EOjm3ia1m2a3TG4zp4AJ8w==" spinCount="100000" sheet="1" objects="1" scenarios="1"/>
  <protectedRanges>
    <protectedRange algorithmName="SHA-512" hashValue="N2Pz5TeBLylluc2oZOgXfwrMHO8L8Z8AVPpqDsYTEE7ZP4folvBBmERLHgnQXCD7qRW9UfLOU+dwlLkoNMa4DA==" saltValue="cqUK9QMS/VlyP0gcc2H8oQ==" spinCount="100000" sqref="A1:XFD1048576" name="Plage1"/>
  </protectedRanges>
  <mergeCells count="8">
    <mergeCell ref="A30:H34"/>
    <mergeCell ref="A4:F4"/>
    <mergeCell ref="A13:F13"/>
    <mergeCell ref="A7:F7"/>
    <mergeCell ref="H2:K2"/>
    <mergeCell ref="H4:L4"/>
    <mergeCell ref="H7:L7"/>
    <mergeCell ref="H13:L13"/>
  </mergeCells>
  <pageMargins left="0.78740157499999996" right="0.78740157499999996" top="0.984251969" bottom="0.984251969" header="0.4921259845" footer="0.4921259845"/>
  <pageSetup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8">
    <tabColor theme="0"/>
  </sheetPr>
  <dimension ref="A1:J47"/>
  <sheetViews>
    <sheetView showGridLines="0" topLeftCell="A7" zoomScale="85" zoomScaleNormal="85" zoomScaleSheetLayoutView="85" workbookViewId="0">
      <selection activeCell="B20" sqref="B20"/>
    </sheetView>
  </sheetViews>
  <sheetFormatPr baseColWidth="10" defaultColWidth="12" defaultRowHeight="15.5" x14ac:dyDescent="0.35"/>
  <cols>
    <col min="1" max="1" width="49.296875" style="1" customWidth="1"/>
    <col min="2" max="2" width="39" style="1" customWidth="1"/>
    <col min="3" max="3" width="26.796875" style="1" customWidth="1"/>
    <col min="4" max="4" width="16.296875" style="1" bestFit="1" customWidth="1"/>
    <col min="5" max="5" width="13" style="1" bestFit="1" customWidth="1"/>
    <col min="6" max="6" width="12" style="1"/>
    <col min="7" max="7" width="13.19921875" style="1" bestFit="1" customWidth="1"/>
    <col min="8" max="8" width="13.796875" style="1" bestFit="1" customWidth="1"/>
    <col min="9" max="9" width="14" style="1" customWidth="1"/>
    <col min="10" max="10" width="13.69921875" style="1" customWidth="1"/>
    <col min="11" max="11" width="8.296875" style="1" customWidth="1"/>
    <col min="12" max="12" width="13.296875" style="1" customWidth="1"/>
    <col min="13" max="13" width="14.296875" style="1" customWidth="1"/>
    <col min="14" max="16384" width="12" style="1"/>
  </cols>
  <sheetData>
    <row r="1" spans="1:4" s="43" customFormat="1" ht="28" customHeight="1" x14ac:dyDescent="0.35">
      <c r="A1" s="204" t="s">
        <v>899</v>
      </c>
      <c r="B1" s="42"/>
    </row>
    <row r="3" spans="1:4" ht="39" customHeight="1" x14ac:dyDescent="0.35">
      <c r="A3" s="38" t="s">
        <v>441</v>
      </c>
      <c r="B3" s="38" t="s">
        <v>444</v>
      </c>
      <c r="C3" s="38" t="s">
        <v>776</v>
      </c>
      <c r="D3" s="38" t="s">
        <v>442</v>
      </c>
    </row>
    <row r="4" spans="1:4" ht="24" customHeight="1" x14ac:dyDescent="0.35">
      <c r="A4" s="60" t="s">
        <v>23</v>
      </c>
      <c r="B4" s="646" t="s">
        <v>446</v>
      </c>
      <c r="C4" s="29">
        <f>Résidentiel!G9</f>
        <v>309589.28316677862</v>
      </c>
      <c r="D4" s="50">
        <f>C4/$C$28</f>
        <v>7.9037077025242333E-2</v>
      </c>
    </row>
    <row r="5" spans="1:4" ht="39" customHeight="1" x14ac:dyDescent="0.35">
      <c r="A5" s="60" t="s">
        <v>57</v>
      </c>
      <c r="B5" s="646" t="s">
        <v>447</v>
      </c>
      <c r="C5" s="29">
        <f>CI!G11</f>
        <v>409120.81680817326</v>
      </c>
      <c r="D5" s="50">
        <f t="shared" ref="D5:D27" si="0">C5/$C$28</f>
        <v>0.1044471345388209</v>
      </c>
    </row>
    <row r="6" spans="1:4" ht="24" customHeight="1" x14ac:dyDescent="0.35">
      <c r="A6" s="60" t="s">
        <v>26</v>
      </c>
      <c r="B6" s="646" t="s">
        <v>448</v>
      </c>
      <c r="C6" s="29">
        <f>Industriel!F8</f>
        <v>70279.256809750004</v>
      </c>
      <c r="D6" s="50">
        <f t="shared" si="0"/>
        <v>1.7942052053386639E-2</v>
      </c>
    </row>
    <row r="7" spans="1:4" ht="24" customHeight="1" x14ac:dyDescent="0.35">
      <c r="A7" s="809" t="s">
        <v>60</v>
      </c>
      <c r="B7" s="647" t="s">
        <v>2</v>
      </c>
      <c r="C7" s="57">
        <f>'Transports - routier'!E4</f>
        <v>664714.54606243339</v>
      </c>
      <c r="D7" s="58">
        <f t="shared" si="0"/>
        <v>0.1696993327402529</v>
      </c>
    </row>
    <row r="8" spans="1:4" ht="24" customHeight="1" x14ac:dyDescent="0.35">
      <c r="A8" s="809"/>
      <c r="B8" s="647" t="s">
        <v>3</v>
      </c>
      <c r="C8" s="57">
        <f>'Transports - routier'!E5</f>
        <v>600847.6289103569</v>
      </c>
      <c r="D8" s="58">
        <f t="shared" si="0"/>
        <v>0.15339432890200921</v>
      </c>
    </row>
    <row r="9" spans="1:4" ht="24" customHeight="1" x14ac:dyDescent="0.35">
      <c r="A9" s="809"/>
      <c r="B9" s="647" t="s">
        <v>4</v>
      </c>
      <c r="C9" s="57">
        <f>'Transports - routier'!E6</f>
        <v>4918.18425149209</v>
      </c>
      <c r="D9" s="58">
        <f t="shared" si="0"/>
        <v>1.2555954893958899E-3</v>
      </c>
    </row>
    <row r="10" spans="1:4" ht="24" customHeight="1" x14ac:dyDescent="0.35">
      <c r="A10" s="809"/>
      <c r="B10" s="647" t="s">
        <v>5</v>
      </c>
      <c r="C10" s="57">
        <f>'Transports - routier'!E7</f>
        <v>69421.7901985504</v>
      </c>
      <c r="D10" s="58">
        <f t="shared" si="0"/>
        <v>1.7723143782716794E-2</v>
      </c>
    </row>
    <row r="11" spans="1:4" ht="24" customHeight="1" x14ac:dyDescent="0.35">
      <c r="A11" s="809"/>
      <c r="B11" s="647" t="s">
        <v>6</v>
      </c>
      <c r="C11" s="57">
        <f>'Transports - routier'!E8</f>
        <v>632267.36786876759</v>
      </c>
      <c r="D11" s="58">
        <f t="shared" si="0"/>
        <v>0.16141567997323192</v>
      </c>
    </row>
    <row r="12" spans="1:4" ht="24" customHeight="1" x14ac:dyDescent="0.35">
      <c r="A12" s="810"/>
      <c r="B12" s="55" t="s">
        <v>445</v>
      </c>
      <c r="C12" s="29">
        <f>SUM(C7:C11)</f>
        <v>1972169.5172916004</v>
      </c>
      <c r="D12" s="50">
        <f t="shared" si="0"/>
        <v>0.50348808088760666</v>
      </c>
    </row>
    <row r="13" spans="1:4" ht="24" customHeight="1" x14ac:dyDescent="0.35">
      <c r="A13" s="805" t="s">
        <v>148</v>
      </c>
      <c r="B13" s="647" t="s">
        <v>254</v>
      </c>
      <c r="C13" s="57">
        <f>'Transports - routier'!E9</f>
        <v>295244.04286071559</v>
      </c>
      <c r="D13" s="58">
        <f t="shared" si="0"/>
        <v>7.5374786614481826E-2</v>
      </c>
    </row>
    <row r="14" spans="1:4" ht="24" customHeight="1" x14ac:dyDescent="0.35">
      <c r="A14" s="806"/>
      <c r="B14" s="647" t="s">
        <v>245</v>
      </c>
      <c r="C14" s="57">
        <f>'Transports - hors route'!F16</f>
        <v>494504.55219512177</v>
      </c>
      <c r="D14" s="58">
        <f t="shared" si="0"/>
        <v>0.12624530791695326</v>
      </c>
    </row>
    <row r="15" spans="1:4" ht="24" customHeight="1" x14ac:dyDescent="0.35">
      <c r="A15" s="806"/>
      <c r="B15" s="647" t="s">
        <v>252</v>
      </c>
      <c r="C15" s="57">
        <f>'Transports - hors route'!C27</f>
        <v>100434.30100594585</v>
      </c>
      <c r="D15" s="58">
        <f t="shared" si="0"/>
        <v>2.5640530910454748E-2</v>
      </c>
    </row>
    <row r="16" spans="1:4" ht="24" customHeight="1" x14ac:dyDescent="0.35">
      <c r="A16" s="806"/>
      <c r="B16" s="647" t="s">
        <v>69</v>
      </c>
      <c r="C16" s="57">
        <f>'Transports - hors route'!F44</f>
        <v>9740.0508986798141</v>
      </c>
      <c r="D16" s="58">
        <f t="shared" si="0"/>
        <v>2.4866014263614715E-3</v>
      </c>
    </row>
    <row r="17" spans="1:4" ht="24" customHeight="1" x14ac:dyDescent="0.35">
      <c r="A17" s="807"/>
      <c r="B17" s="55" t="s">
        <v>449</v>
      </c>
      <c r="C17" s="29">
        <f>SUM(C13:C16)</f>
        <v>899922.94696046307</v>
      </c>
      <c r="D17" s="50">
        <f t="shared" si="0"/>
        <v>0.22974722686825133</v>
      </c>
    </row>
    <row r="18" spans="1:4" ht="24" customHeight="1" x14ac:dyDescent="0.35">
      <c r="A18" s="60" t="s">
        <v>96</v>
      </c>
      <c r="B18" s="647" t="s">
        <v>450</v>
      </c>
      <c r="C18" s="29">
        <f>'Matières résiduelles - DMS'!E6</f>
        <v>15244.449742897006</v>
      </c>
      <c r="D18" s="50">
        <f t="shared" si="0"/>
        <v>3.8918554809525109E-3</v>
      </c>
    </row>
    <row r="19" spans="1:4" ht="24" customHeight="1" x14ac:dyDescent="0.35">
      <c r="A19" s="805" t="s">
        <v>149</v>
      </c>
      <c r="B19" s="647" t="s">
        <v>316</v>
      </c>
      <c r="C19" s="57">
        <f>Agricole!D5</f>
        <v>9546.0424999999996</v>
      </c>
      <c r="D19" s="58">
        <f t="shared" si="0"/>
        <v>2.4370717508082648E-3</v>
      </c>
    </row>
    <row r="20" spans="1:4" ht="24" customHeight="1" x14ac:dyDescent="0.35">
      <c r="A20" s="806"/>
      <c r="B20" s="647" t="s">
        <v>317</v>
      </c>
      <c r="C20" s="57">
        <f>Agricole!D6</f>
        <v>3435.7973000806578</v>
      </c>
      <c r="D20" s="58">
        <f t="shared" si="0"/>
        <v>8.7714720959286303E-4</v>
      </c>
    </row>
    <row r="21" spans="1:4" ht="24" customHeight="1" x14ac:dyDescent="0.35">
      <c r="A21" s="806"/>
      <c r="B21" s="647" t="s">
        <v>318</v>
      </c>
      <c r="C21" s="57">
        <f>Agricole!D7</f>
        <v>2305.7130053571427</v>
      </c>
      <c r="D21" s="58">
        <f t="shared" si="0"/>
        <v>5.8864058386782982E-4</v>
      </c>
    </row>
    <row r="22" spans="1:4" ht="24" customHeight="1" x14ac:dyDescent="0.35">
      <c r="A22" s="807"/>
      <c r="B22" s="37" t="s">
        <v>451</v>
      </c>
      <c r="C22" s="29">
        <f>SUM(C19:C21)</f>
        <v>15287.552805437801</v>
      </c>
      <c r="D22" s="50">
        <f t="shared" si="0"/>
        <v>3.9028595442689579E-3</v>
      </c>
    </row>
    <row r="23" spans="1:4" ht="24" customHeight="1" x14ac:dyDescent="0.35">
      <c r="A23" s="60" t="s">
        <v>124</v>
      </c>
      <c r="B23" s="646" t="s">
        <v>123</v>
      </c>
      <c r="C23" s="52">
        <f>'Eaux usées'!H6</f>
        <v>867.48353999999972</v>
      </c>
      <c r="D23" s="50">
        <f t="shared" si="0"/>
        <v>2.2146555807028419E-4</v>
      </c>
    </row>
    <row r="24" spans="1:4" ht="38.15" customHeight="1" x14ac:dyDescent="0.35">
      <c r="A24" s="808" t="s">
        <v>766</v>
      </c>
      <c r="B24" s="646" t="s">
        <v>747</v>
      </c>
      <c r="C24" s="57">
        <f>'Halocarbures et al'!C6</f>
        <v>173162.51053512673</v>
      </c>
      <c r="D24" s="50">
        <f t="shared" si="0"/>
        <v>4.4207792153051477E-2</v>
      </c>
    </row>
    <row r="25" spans="1:4" ht="52" customHeight="1" x14ac:dyDescent="0.35">
      <c r="A25" s="809"/>
      <c r="B25" s="646" t="s">
        <v>748</v>
      </c>
      <c r="C25" s="57">
        <f>'Halocarbures et al'!D6</f>
        <v>40836.460197425389</v>
      </c>
      <c r="D25" s="50">
        <f t="shared" si="0"/>
        <v>1.04254075497937E-2</v>
      </c>
    </row>
    <row r="26" spans="1:4" ht="40" customHeight="1" x14ac:dyDescent="0.35">
      <c r="A26" s="809"/>
      <c r="B26" s="646" t="s">
        <v>749</v>
      </c>
      <c r="C26" s="57">
        <f>'Halocarbures et al'!E6</f>
        <v>10533.038157363044</v>
      </c>
      <c r="D26" s="50">
        <f>C26/$C$28</f>
        <v>2.6890483405552631E-3</v>
      </c>
    </row>
    <row r="27" spans="1:4" ht="40" customHeight="1" x14ac:dyDescent="0.35">
      <c r="A27" s="810"/>
      <c r="B27" s="37" t="s">
        <v>777</v>
      </c>
      <c r="C27" s="52">
        <f>C24+C25+C26</f>
        <v>224532.00888991516</v>
      </c>
      <c r="D27" s="50">
        <f t="shared" si="0"/>
        <v>5.7322248043400442E-2</v>
      </c>
    </row>
    <row r="28" spans="1:4" ht="30" customHeight="1" x14ac:dyDescent="0.35">
      <c r="A28" s="40" t="s">
        <v>50</v>
      </c>
      <c r="B28" s="40"/>
      <c r="C28" s="41">
        <f>C4+C5+C6+C12+C17+C18+C22+C23+C27</f>
        <v>3917013.3160150149</v>
      </c>
      <c r="D28" s="51">
        <f>D4+D5+D6+D12+D17+D18+D22+D27</f>
        <v>0.99977853444192977</v>
      </c>
    </row>
    <row r="35" spans="4:10" x14ac:dyDescent="0.35">
      <c r="D35" s="46"/>
      <c r="E35" s="46"/>
    </row>
    <row r="36" spans="4:10" x14ac:dyDescent="0.35">
      <c r="E36" s="47"/>
      <c r="H36" s="48"/>
    </row>
    <row r="37" spans="4:10" x14ac:dyDescent="0.35">
      <c r="D37" s="47"/>
      <c r="E37" s="47"/>
      <c r="H37" s="48"/>
    </row>
    <row r="38" spans="4:10" x14ac:dyDescent="0.35">
      <c r="D38" s="46"/>
      <c r="E38" s="47"/>
      <c r="H38" s="48"/>
    </row>
    <row r="39" spans="4:10" x14ac:dyDescent="0.35">
      <c r="D39" s="47"/>
      <c r="E39" s="47"/>
      <c r="H39" s="48"/>
    </row>
    <row r="40" spans="4:10" x14ac:dyDescent="0.35">
      <c r="E40" s="46"/>
      <c r="H40" s="48"/>
    </row>
    <row r="41" spans="4:10" x14ac:dyDescent="0.35">
      <c r="D41" s="46"/>
      <c r="H41" s="48"/>
    </row>
    <row r="42" spans="4:10" x14ac:dyDescent="0.35">
      <c r="D42" s="49"/>
      <c r="H42" s="48"/>
    </row>
    <row r="43" spans="4:10" x14ac:dyDescent="0.35">
      <c r="D43" s="46"/>
      <c r="H43" s="48"/>
    </row>
    <row r="44" spans="4:10" x14ac:dyDescent="0.35">
      <c r="D44" s="46"/>
    </row>
    <row r="45" spans="4:10" x14ac:dyDescent="0.35">
      <c r="D45" s="46"/>
      <c r="E45" s="46"/>
    </row>
    <row r="46" spans="4:10" x14ac:dyDescent="0.35">
      <c r="H46" s="48"/>
      <c r="J46" s="48"/>
    </row>
    <row r="47" spans="4:10" x14ac:dyDescent="0.35">
      <c r="D47" s="46"/>
      <c r="H47" s="48"/>
    </row>
  </sheetData>
  <sheetProtection algorithmName="SHA-512" hashValue="dJmlVYSccRJSc7tWTSx9x3B7naZsihCHC97AGrfBP6Hgkp1wTMOEApd5knBxe58P+fe0LPogUVjMVYKxTb4l0A==" saltValue="rYRa+qaef7EKZEXqAdclVw==" spinCount="100000" sheet="1" objects="1" scenarios="1"/>
  <protectedRanges>
    <protectedRange algorithmName="SHA-512" hashValue="hA0Z0d2Rzik45Lkz7t1dGnaQcANE3TbsyC0A/Oul0+VkFe8GciuzbTjsCAZCAHVQgKH5wVpgB8TfNjBS1yFTQA==" saltValue="qXAUlQm4ZY8cZLlBD+/UtA==" spinCount="100000" sqref="A1:XFD1048576" name="Plage1"/>
  </protectedRanges>
  <mergeCells count="4">
    <mergeCell ref="A19:A22"/>
    <mergeCell ref="A24:A27"/>
    <mergeCell ref="A7:A12"/>
    <mergeCell ref="A13:A17"/>
  </mergeCells>
  <phoneticPr fontId="19" type="noConversion"/>
  <pageMargins left="0.78740157499999996" right="0.78740157499999996" top="0.984251969" bottom="0.984251969" header="0.4921259845" footer="0.4921259845"/>
  <pageSetup scale="52" fitToHeight="2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FFFF00"/>
    <pageSetUpPr fitToPage="1"/>
  </sheetPr>
  <dimension ref="A1:AI206"/>
  <sheetViews>
    <sheetView topLeftCell="A190" zoomScale="90" zoomScaleNormal="90" workbookViewId="0">
      <selection activeCell="D205" sqref="D205"/>
    </sheetView>
  </sheetViews>
  <sheetFormatPr baseColWidth="10" defaultColWidth="9.296875" defaultRowHeight="20.149999999999999" customHeight="1" x14ac:dyDescent="0.3"/>
  <cols>
    <col min="1" max="1" width="34.796875" style="26" customWidth="1"/>
    <col min="2" max="2" width="24.69921875" style="506" customWidth="1"/>
    <col min="3" max="3" width="29.296875" style="506" customWidth="1"/>
    <col min="4" max="4" width="30.296875" style="506" customWidth="1"/>
    <col min="5" max="5" width="24.296875" style="506" customWidth="1"/>
    <col min="6" max="6" width="22.296875" style="506" customWidth="1"/>
    <col min="7" max="7" width="23" style="506" customWidth="1"/>
    <col min="8" max="8" width="19.796875" style="26" customWidth="1"/>
    <col min="9" max="9" width="14.69921875" style="26" customWidth="1"/>
    <col min="10" max="10" width="16.19921875" style="26" customWidth="1"/>
    <col min="11" max="36" width="9.296875" style="26" customWidth="1"/>
    <col min="37" max="16384" width="9.296875" style="26"/>
  </cols>
  <sheetData>
    <row r="1" spans="1:35" s="705" customFormat="1" ht="20.149999999999999" customHeight="1" x14ac:dyDescent="0.3">
      <c r="A1" s="703" t="s">
        <v>503</v>
      </c>
      <c r="B1" s="704"/>
      <c r="C1" s="704"/>
      <c r="D1" s="704"/>
      <c r="E1" s="704"/>
      <c r="F1" s="704"/>
      <c r="G1" s="704"/>
    </row>
    <row r="2" spans="1:35" s="550" customFormat="1" ht="20.149999999999999" customHeight="1" x14ac:dyDescent="0.3">
      <c r="A2" s="550" t="s">
        <v>504</v>
      </c>
      <c r="B2" s="551"/>
      <c r="C2" s="551"/>
      <c r="D2" s="551"/>
      <c r="E2" s="551"/>
      <c r="F2" s="551"/>
      <c r="G2" s="551"/>
    </row>
    <row r="3" spans="1:35" ht="20.149999999999999" customHeight="1" x14ac:dyDescent="0.3">
      <c r="A3" s="349"/>
      <c r="B3" s="499"/>
      <c r="C3" s="499"/>
      <c r="D3" s="499"/>
      <c r="E3" s="499"/>
      <c r="F3" s="499"/>
      <c r="K3" s="349"/>
      <c r="L3" s="349"/>
      <c r="M3" s="349"/>
      <c r="N3" s="349"/>
      <c r="O3" s="349"/>
      <c r="P3" s="349"/>
      <c r="Q3" s="349"/>
      <c r="R3" s="349"/>
      <c r="S3" s="349"/>
      <c r="T3" s="349"/>
      <c r="U3" s="349"/>
      <c r="V3" s="349"/>
      <c r="W3" s="349"/>
      <c r="X3" s="349"/>
      <c r="Y3" s="349"/>
      <c r="Z3" s="349"/>
      <c r="AA3" s="349"/>
      <c r="AB3" s="349"/>
      <c r="AC3" s="349"/>
      <c r="AD3" s="349"/>
      <c r="AE3" s="349"/>
      <c r="AF3" s="349"/>
      <c r="AG3" s="349"/>
      <c r="AH3" s="349"/>
      <c r="AI3" s="349"/>
    </row>
    <row r="4" spans="1:35" ht="20.149999999999999" customHeight="1" x14ac:dyDescent="0.3">
      <c r="A4" s="498" t="s">
        <v>27</v>
      </c>
      <c r="B4" s="498" t="s">
        <v>24</v>
      </c>
      <c r="C4" s="493" t="s">
        <v>689</v>
      </c>
      <c r="D4" s="463" t="s">
        <v>667</v>
      </c>
      <c r="E4" s="463" t="s">
        <v>668</v>
      </c>
      <c r="F4" s="463" t="s">
        <v>669</v>
      </c>
      <c r="G4" s="464" t="s">
        <v>594</v>
      </c>
      <c r="K4" s="349"/>
      <c r="L4" s="349"/>
      <c r="M4" s="349"/>
      <c r="N4" s="349"/>
      <c r="O4" s="349"/>
      <c r="P4" s="349"/>
      <c r="Q4" s="349"/>
      <c r="R4" s="349"/>
      <c r="S4" s="349"/>
      <c r="T4" s="349"/>
      <c r="U4" s="349"/>
      <c r="V4" s="349"/>
      <c r="W4" s="349"/>
      <c r="X4" s="349"/>
      <c r="Y4" s="349"/>
      <c r="Z4" s="349"/>
      <c r="AA4" s="349"/>
      <c r="AB4" s="349"/>
      <c r="AC4" s="349"/>
      <c r="AD4" s="349"/>
      <c r="AE4" s="349"/>
      <c r="AF4" s="349"/>
      <c r="AG4" s="349"/>
      <c r="AH4" s="349"/>
      <c r="AI4" s="349"/>
    </row>
    <row r="5" spans="1:35" ht="20.149999999999999" customHeight="1" x14ac:dyDescent="0.3">
      <c r="A5" s="494" t="s">
        <v>19</v>
      </c>
      <c r="B5" s="494" t="s">
        <v>14</v>
      </c>
      <c r="C5" s="500">
        <f>A21</f>
        <v>4468647222.7617359</v>
      </c>
      <c r="D5" s="500">
        <f>$C$5*D203</f>
        <v>7596.7002786949515</v>
      </c>
      <c r="E5" s="500">
        <f>$C$5*E203</f>
        <v>0</v>
      </c>
      <c r="F5" s="500">
        <f>$C$5*F203</f>
        <v>0</v>
      </c>
      <c r="G5" s="500">
        <f>$C$5*G203</f>
        <v>7596.7002786949515</v>
      </c>
      <c r="K5" s="349"/>
      <c r="L5" s="349"/>
      <c r="M5" s="349"/>
      <c r="N5" s="349"/>
      <c r="O5" s="349"/>
      <c r="P5" s="349"/>
      <c r="Q5" s="349"/>
      <c r="R5" s="349"/>
      <c r="S5" s="349"/>
      <c r="T5" s="349"/>
      <c r="U5" s="349"/>
      <c r="V5" s="349"/>
      <c r="W5" s="349"/>
      <c r="X5" s="349"/>
      <c r="Y5" s="349"/>
      <c r="Z5" s="349"/>
      <c r="AA5" s="349"/>
      <c r="AB5" s="349"/>
      <c r="AC5" s="349"/>
      <c r="AD5" s="349"/>
      <c r="AE5" s="349"/>
      <c r="AF5" s="349"/>
      <c r="AG5" s="349"/>
      <c r="AH5" s="349"/>
      <c r="AI5" s="349"/>
    </row>
    <row r="6" spans="1:35" ht="20.149999999999999" customHeight="1" x14ac:dyDescent="0.3">
      <c r="A6" s="494" t="s">
        <v>20</v>
      </c>
      <c r="B6" s="494" t="s">
        <v>581</v>
      </c>
      <c r="C6" s="500">
        <f>A18</f>
        <v>34120529</v>
      </c>
      <c r="D6" s="500">
        <f>$C$6*D204</f>
        <v>64385.438222999997</v>
      </c>
      <c r="E6" s="500">
        <f>$C$6*E204</f>
        <v>1.2624595730000001</v>
      </c>
      <c r="F6" s="500">
        <f>$C$6*F204</f>
        <v>1.194218515</v>
      </c>
      <c r="G6" s="500">
        <f>$C$6*G204</f>
        <v>64772.876829795001</v>
      </c>
      <c r="K6" s="349"/>
      <c r="L6" s="349"/>
      <c r="M6" s="349"/>
      <c r="N6" s="349"/>
      <c r="O6" s="349"/>
      <c r="P6" s="349"/>
      <c r="Q6" s="349"/>
      <c r="R6" s="349"/>
      <c r="S6" s="349"/>
      <c r="T6" s="349"/>
      <c r="U6" s="349"/>
      <c r="V6" s="349"/>
      <c r="W6" s="349"/>
      <c r="X6" s="349"/>
      <c r="Y6" s="349"/>
      <c r="Z6" s="349"/>
      <c r="AA6" s="349"/>
      <c r="AB6" s="349"/>
      <c r="AC6" s="349"/>
      <c r="AD6" s="349"/>
      <c r="AE6" s="349"/>
      <c r="AF6" s="349"/>
      <c r="AG6" s="349"/>
      <c r="AH6" s="349"/>
      <c r="AI6" s="349"/>
    </row>
    <row r="7" spans="1:35" ht="20.149999999999999" customHeight="1" x14ac:dyDescent="0.3">
      <c r="A7" s="494" t="s">
        <v>21</v>
      </c>
      <c r="B7" s="494" t="s">
        <v>15</v>
      </c>
      <c r="C7" s="500">
        <f>D169+D173</f>
        <v>83337143.909407586</v>
      </c>
      <c r="D7" s="500">
        <f>$C$7*D205</f>
        <v>229427.15718259907</v>
      </c>
      <c r="E7" s="500">
        <f>$C$7*E205</f>
        <v>2.1667657416445971</v>
      </c>
      <c r="F7" s="500">
        <f>$C$7*F205</f>
        <v>2.5834514611916353</v>
      </c>
      <c r="G7" s="500">
        <f>$C$7*G205</f>
        <v>230251.19486157529</v>
      </c>
      <c r="K7" s="349"/>
      <c r="L7" s="349"/>
      <c r="M7" s="349"/>
      <c r="N7" s="349"/>
      <c r="O7" s="349"/>
      <c r="P7" s="349"/>
      <c r="Q7" s="349"/>
      <c r="R7" s="349"/>
      <c r="S7" s="349"/>
      <c r="T7" s="349"/>
      <c r="U7" s="349"/>
      <c r="V7" s="349"/>
      <c r="W7" s="349"/>
      <c r="X7" s="349"/>
      <c r="Y7" s="349"/>
      <c r="Z7" s="349"/>
      <c r="AA7" s="349"/>
      <c r="AB7" s="349"/>
      <c r="AC7" s="349"/>
      <c r="AD7" s="349"/>
      <c r="AE7" s="349"/>
      <c r="AF7" s="349"/>
      <c r="AG7" s="349"/>
      <c r="AH7" s="349"/>
      <c r="AI7" s="349"/>
    </row>
    <row r="8" spans="1:35" ht="20.149999999999999" customHeight="1" x14ac:dyDescent="0.3">
      <c r="A8" s="494" t="s">
        <v>195</v>
      </c>
      <c r="B8" s="494" t="s">
        <v>427</v>
      </c>
      <c r="C8" s="500">
        <f>C31</f>
        <v>57790642.025454536</v>
      </c>
      <c r="D8" s="500">
        <f>$C$8*D206</f>
        <v>0</v>
      </c>
      <c r="E8" s="500">
        <f>$C$8*E206</f>
        <v>238.09744514487272</v>
      </c>
      <c r="F8" s="500">
        <f>$C$8*F206</f>
        <v>3.4096478795018177</v>
      </c>
      <c r="G8" s="500">
        <f>$C$8*G206</f>
        <v>6968.5111967133589</v>
      </c>
      <c r="K8" s="349"/>
      <c r="L8" s="349"/>
      <c r="M8" s="349"/>
      <c r="N8" s="349"/>
      <c r="O8" s="349"/>
      <c r="P8" s="349"/>
      <c r="Q8" s="349"/>
      <c r="R8" s="349"/>
      <c r="S8" s="349"/>
      <c r="T8" s="349"/>
      <c r="U8" s="349"/>
      <c r="V8" s="349"/>
      <c r="W8" s="349"/>
      <c r="X8" s="349"/>
      <c r="Y8" s="349"/>
      <c r="Z8" s="349"/>
      <c r="AA8" s="349"/>
      <c r="AB8" s="349"/>
      <c r="AC8" s="349"/>
      <c r="AD8" s="349"/>
      <c r="AE8" s="349"/>
      <c r="AF8" s="349"/>
      <c r="AG8" s="349"/>
      <c r="AH8" s="349"/>
      <c r="AI8" s="349"/>
    </row>
    <row r="9" spans="1:35" ht="20.149999999999999" customHeight="1" x14ac:dyDescent="0.3">
      <c r="A9" s="495" t="s">
        <v>16</v>
      </c>
      <c r="B9" s="515"/>
      <c r="C9" s="496" t="s">
        <v>341</v>
      </c>
      <c r="D9" s="497">
        <f>SUM(D5:D7)</f>
        <v>301409.29568429402</v>
      </c>
      <c r="E9" s="497">
        <f>SUM(E5:E7)</f>
        <v>3.4292253146445972</v>
      </c>
      <c r="F9" s="497">
        <f t="shared" ref="F9" si="0">SUM(F5:F7)</f>
        <v>3.7776699761916355</v>
      </c>
      <c r="G9" s="480">
        <f>SUM(G5:G8)</f>
        <v>309589.28316677862</v>
      </c>
      <c r="K9" s="349"/>
      <c r="L9" s="349"/>
      <c r="M9" s="349"/>
      <c r="N9" s="349"/>
      <c r="O9" s="349"/>
      <c r="P9" s="349"/>
      <c r="Q9" s="349"/>
      <c r="R9" s="349"/>
      <c r="S9" s="349"/>
      <c r="T9" s="349"/>
      <c r="U9" s="349"/>
      <c r="V9" s="349"/>
      <c r="W9" s="349"/>
      <c r="X9" s="349"/>
      <c r="Y9" s="349"/>
      <c r="Z9" s="349"/>
      <c r="AA9" s="349"/>
      <c r="AB9" s="349"/>
      <c r="AC9" s="349"/>
      <c r="AD9" s="349"/>
      <c r="AE9" s="349"/>
      <c r="AF9" s="349"/>
      <c r="AG9" s="349"/>
      <c r="AH9" s="349"/>
      <c r="AI9" s="349"/>
    </row>
    <row r="10" spans="1:35" ht="20.149999999999999" customHeight="1" x14ac:dyDescent="0.3">
      <c r="A10" s="349"/>
      <c r="B10" s="499"/>
      <c r="C10" s="499"/>
      <c r="D10" s="499"/>
      <c r="E10" s="499"/>
      <c r="F10" s="499"/>
      <c r="K10" s="349"/>
      <c r="L10" s="349"/>
      <c r="M10" s="349"/>
      <c r="N10" s="349"/>
      <c r="O10" s="349"/>
      <c r="P10" s="349"/>
      <c r="Q10" s="349"/>
      <c r="R10" s="349"/>
      <c r="S10" s="349"/>
      <c r="T10" s="349"/>
      <c r="U10" s="349"/>
      <c r="V10" s="349"/>
      <c r="W10" s="349"/>
      <c r="X10" s="349"/>
      <c r="Y10" s="349"/>
      <c r="Z10" s="349"/>
      <c r="AA10" s="349"/>
      <c r="AB10" s="349"/>
      <c r="AC10" s="349"/>
      <c r="AD10" s="349"/>
      <c r="AE10" s="349"/>
      <c r="AF10" s="349"/>
      <c r="AG10" s="349"/>
      <c r="AH10" s="349"/>
      <c r="AI10" s="349"/>
    </row>
    <row r="11" spans="1:35" ht="26.15" customHeight="1" x14ac:dyDescent="0.3">
      <c r="A11" s="811" t="s">
        <v>18</v>
      </c>
      <c r="B11" s="811"/>
      <c r="C11" s="540" t="s">
        <v>25</v>
      </c>
      <c r="D11" s="464" t="s">
        <v>711</v>
      </c>
      <c r="E11" s="26"/>
      <c r="F11" s="499"/>
      <c r="K11" s="349"/>
      <c r="L11" s="349"/>
      <c r="M11" s="349"/>
      <c r="N11" s="349"/>
      <c r="O11" s="349"/>
      <c r="P11" s="349"/>
      <c r="Q11" s="349"/>
      <c r="R11" s="349"/>
      <c r="S11" s="349"/>
      <c r="T11" s="349"/>
      <c r="U11" s="349"/>
      <c r="V11" s="349"/>
      <c r="W11" s="349"/>
      <c r="X11" s="349"/>
      <c r="Y11" s="349"/>
      <c r="Z11" s="349"/>
      <c r="AA11" s="349"/>
      <c r="AB11" s="349"/>
      <c r="AC11" s="349"/>
      <c r="AD11" s="349"/>
      <c r="AE11" s="349"/>
      <c r="AF11" s="349"/>
      <c r="AG11" s="349"/>
      <c r="AH11" s="349"/>
      <c r="AI11" s="349"/>
    </row>
    <row r="12" spans="1:35" ht="20.149999999999999" customHeight="1" x14ac:dyDescent="0.3">
      <c r="A12" s="811" t="s">
        <v>714</v>
      </c>
      <c r="B12" s="811"/>
      <c r="C12" s="500">
        <v>37113.084999999999</v>
      </c>
      <c r="D12" s="501">
        <f>G9/C12</f>
        <v>8.3417825051940202</v>
      </c>
      <c r="E12" s="26"/>
      <c r="F12" s="499"/>
      <c r="K12" s="349"/>
      <c r="L12" s="349"/>
      <c r="M12" s="349"/>
      <c r="N12" s="349"/>
      <c r="O12" s="349"/>
      <c r="P12" s="349"/>
      <c r="Q12" s="349"/>
      <c r="R12" s="349"/>
      <c r="S12" s="349"/>
      <c r="T12" s="349"/>
      <c r="U12" s="349"/>
      <c r="V12" s="349"/>
      <c r="W12" s="349"/>
      <c r="X12" s="349"/>
      <c r="Y12" s="349"/>
      <c r="Z12" s="349"/>
      <c r="AA12" s="349"/>
      <c r="AB12" s="349"/>
      <c r="AC12" s="349"/>
      <c r="AD12" s="349"/>
      <c r="AE12" s="349"/>
      <c r="AF12" s="349"/>
      <c r="AG12" s="349"/>
      <c r="AH12" s="349"/>
      <c r="AI12" s="349"/>
    </row>
    <row r="13" spans="1:35" ht="20.149999999999999" customHeight="1" x14ac:dyDescent="0.3">
      <c r="A13" s="811" t="s">
        <v>709</v>
      </c>
      <c r="B13" s="811"/>
      <c r="C13" s="500">
        <f>INTRO!B20</f>
        <v>574321</v>
      </c>
      <c r="D13" s="502">
        <f>G9/C13</f>
        <v>0.53905269556011115</v>
      </c>
      <c r="E13" s="26"/>
      <c r="F13" s="499"/>
      <c r="K13" s="349"/>
      <c r="L13" s="349"/>
      <c r="M13" s="349"/>
      <c r="N13" s="349"/>
      <c r="O13" s="349"/>
      <c r="P13" s="349"/>
      <c r="Q13" s="349"/>
      <c r="R13" s="349"/>
      <c r="S13" s="349"/>
      <c r="T13" s="349"/>
      <c r="U13" s="349"/>
      <c r="V13" s="349"/>
      <c r="W13" s="349"/>
      <c r="X13" s="349"/>
      <c r="Y13" s="349"/>
      <c r="Z13" s="349"/>
      <c r="AA13" s="349"/>
      <c r="AB13" s="349"/>
      <c r="AC13" s="349"/>
      <c r="AD13" s="349"/>
      <c r="AE13" s="349"/>
      <c r="AF13" s="349"/>
      <c r="AG13" s="349"/>
      <c r="AH13" s="349"/>
      <c r="AI13" s="349"/>
    </row>
    <row r="14" spans="1:35" ht="20.149999999999999" customHeight="1" x14ac:dyDescent="0.3">
      <c r="A14" s="349"/>
      <c r="B14" s="499"/>
      <c r="C14" s="499"/>
      <c r="D14" s="499"/>
      <c r="E14" s="26"/>
      <c r="F14" s="499"/>
      <c r="K14" s="349"/>
      <c r="L14" s="349"/>
      <c r="M14" s="349"/>
      <c r="N14" s="349"/>
      <c r="O14" s="349"/>
      <c r="P14" s="349"/>
      <c r="Q14" s="349"/>
      <c r="R14" s="349"/>
      <c r="S14" s="349"/>
      <c r="T14" s="349"/>
      <c r="U14" s="349"/>
      <c r="V14" s="349"/>
      <c r="W14" s="349"/>
      <c r="X14" s="349"/>
      <c r="Y14" s="349"/>
      <c r="Z14" s="349"/>
      <c r="AA14" s="349"/>
      <c r="AB14" s="349"/>
      <c r="AC14" s="349"/>
      <c r="AD14" s="349"/>
      <c r="AE14" s="349"/>
      <c r="AF14" s="349"/>
      <c r="AG14" s="349"/>
      <c r="AH14" s="349"/>
      <c r="AI14" s="349"/>
    </row>
    <row r="15" spans="1:35" ht="20.149999999999999" customHeight="1" x14ac:dyDescent="0.3">
      <c r="A15" s="491" t="s">
        <v>761</v>
      </c>
      <c r="B15" s="499"/>
      <c r="C15" s="499"/>
      <c r="D15" s="499"/>
      <c r="E15" s="26"/>
      <c r="F15" s="499"/>
      <c r="K15" s="349"/>
      <c r="L15" s="349"/>
      <c r="M15" s="349"/>
      <c r="N15" s="349"/>
      <c r="O15" s="349"/>
      <c r="P15" s="349"/>
      <c r="Q15" s="349"/>
      <c r="R15" s="349"/>
      <c r="S15" s="349"/>
      <c r="T15" s="349"/>
      <c r="U15" s="349"/>
      <c r="V15" s="349"/>
      <c r="W15" s="349"/>
      <c r="X15" s="349"/>
      <c r="Y15" s="349"/>
      <c r="Z15" s="349"/>
      <c r="AA15" s="349"/>
      <c r="AB15" s="349"/>
      <c r="AC15" s="349"/>
      <c r="AD15" s="349"/>
      <c r="AE15" s="349"/>
      <c r="AF15" s="349"/>
      <c r="AG15" s="349"/>
      <c r="AH15" s="349"/>
      <c r="AI15" s="349"/>
    </row>
    <row r="16" spans="1:35" ht="20.149999999999999" customHeight="1" x14ac:dyDescent="0.3">
      <c r="A16" s="569" t="s">
        <v>762</v>
      </c>
      <c r="B16" s="499"/>
      <c r="C16" s="499"/>
      <c r="D16" s="499"/>
      <c r="E16" s="26"/>
      <c r="F16" s="499"/>
      <c r="K16" s="349"/>
      <c r="L16" s="349"/>
      <c r="M16" s="349"/>
      <c r="N16" s="349"/>
      <c r="O16" s="349"/>
      <c r="P16" s="349"/>
      <c r="Q16" s="349"/>
      <c r="R16" s="349"/>
      <c r="S16" s="349"/>
      <c r="T16" s="349"/>
      <c r="U16" s="349"/>
      <c r="V16" s="349"/>
      <c r="W16" s="349"/>
      <c r="X16" s="349"/>
      <c r="Y16" s="349"/>
      <c r="Z16" s="349"/>
      <c r="AA16" s="349"/>
      <c r="AB16" s="349"/>
      <c r="AC16" s="349"/>
      <c r="AD16" s="349"/>
      <c r="AE16" s="349"/>
      <c r="AF16" s="349"/>
      <c r="AG16" s="349"/>
      <c r="AH16" s="349"/>
      <c r="AI16" s="349"/>
    </row>
    <row r="17" spans="1:35" ht="20.149999999999999" customHeight="1" x14ac:dyDescent="0.3">
      <c r="A17" s="503" t="s">
        <v>730</v>
      </c>
      <c r="B17" s="499"/>
      <c r="C17" s="499"/>
      <c r="D17" s="499"/>
      <c r="E17" s="499"/>
      <c r="F17" s="499"/>
      <c r="K17" s="349"/>
      <c r="L17" s="349"/>
      <c r="M17" s="349"/>
      <c r="N17" s="349"/>
      <c r="O17" s="349"/>
      <c r="P17" s="349"/>
      <c r="Q17" s="349"/>
      <c r="R17" s="349"/>
      <c r="S17" s="349"/>
      <c r="T17" s="349"/>
      <c r="U17" s="349"/>
      <c r="V17" s="349"/>
      <c r="W17" s="349"/>
      <c r="X17" s="349"/>
      <c r="Y17" s="349"/>
      <c r="Z17" s="349"/>
      <c r="AA17" s="349"/>
      <c r="AB17" s="349"/>
      <c r="AC17" s="349"/>
      <c r="AD17" s="349"/>
      <c r="AE17" s="349"/>
      <c r="AF17" s="349"/>
      <c r="AG17" s="349"/>
      <c r="AH17" s="349"/>
      <c r="AI17" s="349"/>
    </row>
    <row r="18" spans="1:35" ht="20.149999999999999" customHeight="1" x14ac:dyDescent="0.3">
      <c r="A18" s="504">
        <v>34120529</v>
      </c>
      <c r="B18" s="505" t="s">
        <v>581</v>
      </c>
      <c r="C18" s="499"/>
      <c r="D18" s="499"/>
      <c r="E18" s="499"/>
      <c r="F18" s="499"/>
      <c r="K18" s="349"/>
      <c r="L18" s="349"/>
      <c r="M18" s="349"/>
      <c r="N18" s="349"/>
      <c r="O18" s="349"/>
      <c r="P18" s="349"/>
      <c r="Q18" s="349"/>
      <c r="R18" s="349"/>
      <c r="S18" s="349"/>
      <c r="T18" s="349"/>
      <c r="U18" s="349"/>
      <c r="V18" s="349"/>
      <c r="W18" s="349"/>
      <c r="X18" s="349"/>
      <c r="Y18" s="349"/>
      <c r="Z18" s="349"/>
      <c r="AA18" s="349"/>
      <c r="AB18" s="349"/>
      <c r="AC18" s="349"/>
      <c r="AD18" s="349"/>
      <c r="AE18" s="349"/>
      <c r="AF18" s="349"/>
      <c r="AG18" s="349"/>
      <c r="AH18" s="349"/>
      <c r="AI18" s="349"/>
    </row>
    <row r="19" spans="1:35" ht="20.149999999999999" customHeight="1" x14ac:dyDescent="0.3">
      <c r="A19" s="349"/>
      <c r="B19" s="499"/>
      <c r="C19" s="499"/>
      <c r="D19" s="499"/>
      <c r="E19" s="499"/>
      <c r="F19" s="499"/>
      <c r="K19" s="349"/>
      <c r="L19" s="349"/>
      <c r="M19" s="349"/>
      <c r="N19" s="349"/>
      <c r="O19" s="349"/>
      <c r="P19" s="349"/>
      <c r="Q19" s="349"/>
      <c r="R19" s="349"/>
      <c r="S19" s="349"/>
      <c r="T19" s="349"/>
      <c r="U19" s="349"/>
      <c r="V19" s="349"/>
      <c r="W19" s="349"/>
      <c r="X19" s="349"/>
      <c r="Y19" s="349"/>
      <c r="Z19" s="349"/>
      <c r="AA19" s="349"/>
      <c r="AB19" s="349"/>
      <c r="AC19" s="349"/>
      <c r="AD19" s="349"/>
      <c r="AE19" s="349"/>
      <c r="AF19" s="349"/>
      <c r="AG19" s="349"/>
      <c r="AH19" s="349"/>
      <c r="AI19" s="349"/>
    </row>
    <row r="20" spans="1:35" ht="20.149999999999999" customHeight="1" x14ac:dyDescent="0.3">
      <c r="A20" s="503" t="s">
        <v>731</v>
      </c>
      <c r="B20" s="499"/>
      <c r="C20" s="499"/>
      <c r="D20" s="499"/>
      <c r="E20" s="499"/>
      <c r="F20" s="499"/>
      <c r="K20" s="349"/>
      <c r="L20" s="349"/>
      <c r="M20" s="349"/>
      <c r="N20" s="349"/>
      <c r="O20" s="349"/>
      <c r="P20" s="349"/>
      <c r="Q20" s="349"/>
      <c r="R20" s="349"/>
      <c r="S20" s="349"/>
      <c r="T20" s="349"/>
      <c r="U20" s="349"/>
      <c r="V20" s="349"/>
      <c r="W20" s="349"/>
      <c r="X20" s="349"/>
      <c r="Y20" s="349"/>
      <c r="Z20" s="349"/>
      <c r="AA20" s="349"/>
      <c r="AB20" s="349"/>
      <c r="AC20" s="349"/>
      <c r="AD20" s="349"/>
      <c r="AE20" s="349"/>
      <c r="AF20" s="349"/>
      <c r="AG20" s="349"/>
      <c r="AH20" s="349"/>
      <c r="AI20" s="349"/>
    </row>
    <row r="21" spans="1:35" ht="20.149999999999999" customHeight="1" x14ac:dyDescent="0.3">
      <c r="A21" s="319">
        <v>4468647222.7617359</v>
      </c>
      <c r="B21" s="505" t="s">
        <v>14</v>
      </c>
      <c r="C21" s="499"/>
      <c r="D21" s="499"/>
      <c r="E21" s="499"/>
      <c r="F21" s="499"/>
      <c r="K21" s="349"/>
      <c r="L21" s="349"/>
      <c r="M21" s="349"/>
      <c r="N21" s="349"/>
      <c r="O21" s="349"/>
      <c r="P21" s="349"/>
      <c r="Q21" s="349"/>
      <c r="R21" s="349"/>
      <c r="S21" s="349"/>
      <c r="T21" s="349"/>
      <c r="U21" s="349"/>
      <c r="V21" s="349"/>
      <c r="W21" s="349"/>
      <c r="X21" s="349"/>
      <c r="Y21" s="349"/>
      <c r="Z21" s="349"/>
      <c r="AA21" s="349"/>
      <c r="AB21" s="349"/>
      <c r="AC21" s="349"/>
      <c r="AD21" s="349"/>
      <c r="AE21" s="349"/>
      <c r="AF21" s="349"/>
      <c r="AG21" s="349"/>
      <c r="AH21" s="349"/>
      <c r="AI21" s="349"/>
    </row>
    <row r="22" spans="1:35" ht="20.149999999999999" customHeight="1" x14ac:dyDescent="0.3">
      <c r="A22" s="349"/>
      <c r="B22" s="499"/>
      <c r="C22" s="499"/>
      <c r="D22" s="499"/>
      <c r="E22" s="499"/>
      <c r="F22" s="499"/>
      <c r="K22" s="349"/>
      <c r="L22" s="349"/>
      <c r="M22" s="349"/>
      <c r="N22" s="349"/>
      <c r="O22" s="349"/>
      <c r="P22" s="349"/>
      <c r="Q22" s="349"/>
      <c r="R22" s="349"/>
      <c r="S22" s="349"/>
      <c r="T22" s="349"/>
      <c r="U22" s="349"/>
      <c r="V22" s="349"/>
      <c r="W22" s="349"/>
      <c r="X22" s="349"/>
      <c r="Y22" s="349"/>
      <c r="Z22" s="349"/>
      <c r="AA22" s="349"/>
      <c r="AB22" s="349"/>
      <c r="AC22" s="349"/>
      <c r="AD22" s="349"/>
      <c r="AE22" s="349"/>
      <c r="AF22" s="349"/>
      <c r="AG22" s="349"/>
      <c r="AH22" s="349"/>
      <c r="AI22" s="349"/>
    </row>
    <row r="23" spans="1:35" ht="20.149999999999999" customHeight="1" x14ac:dyDescent="0.3">
      <c r="A23" s="491" t="s">
        <v>729</v>
      </c>
      <c r="B23" s="499"/>
      <c r="C23" s="499"/>
      <c r="D23" s="499"/>
      <c r="E23" s="499"/>
      <c r="F23" s="499"/>
      <c r="K23" s="349"/>
      <c r="L23" s="349"/>
      <c r="M23" s="349"/>
      <c r="N23" s="349"/>
      <c r="O23" s="349"/>
      <c r="P23" s="349"/>
      <c r="Q23" s="349"/>
      <c r="R23" s="349"/>
      <c r="S23" s="349"/>
      <c r="T23" s="349"/>
      <c r="U23" s="349"/>
      <c r="V23" s="349"/>
      <c r="W23" s="349"/>
      <c r="X23" s="349"/>
      <c r="Y23" s="349"/>
      <c r="Z23" s="349"/>
      <c r="AA23" s="349"/>
      <c r="AB23" s="349"/>
      <c r="AC23" s="349"/>
      <c r="AD23" s="349"/>
      <c r="AE23" s="349"/>
      <c r="AF23" s="349"/>
      <c r="AG23" s="349"/>
      <c r="AH23" s="349"/>
      <c r="AI23" s="349"/>
    </row>
    <row r="24" spans="1:35" ht="36" customHeight="1" x14ac:dyDescent="0.3">
      <c r="A24" s="814" t="s">
        <v>725</v>
      </c>
      <c r="B24" s="814"/>
      <c r="C24" s="510">
        <v>32440</v>
      </c>
      <c r="D24" s="505" t="s">
        <v>726</v>
      </c>
      <c r="E24" s="845" t="s">
        <v>728</v>
      </c>
      <c r="F24" s="845"/>
      <c r="G24" s="845"/>
      <c r="H24" s="845"/>
      <c r="I24" s="845"/>
      <c r="K24" s="349"/>
      <c r="L24" s="349"/>
      <c r="M24" s="349"/>
      <c r="N24" s="349"/>
      <c r="O24" s="349"/>
      <c r="P24" s="349"/>
      <c r="Q24" s="349"/>
      <c r="R24" s="349"/>
      <c r="S24" s="349"/>
      <c r="T24" s="349"/>
      <c r="U24" s="349"/>
      <c r="V24" s="349"/>
      <c r="W24" s="349"/>
      <c r="X24" s="349"/>
      <c r="Y24" s="349"/>
      <c r="Z24" s="349"/>
      <c r="AA24" s="349"/>
      <c r="AB24" s="349"/>
      <c r="AC24" s="349"/>
      <c r="AD24" s="349"/>
      <c r="AE24" s="349"/>
      <c r="AF24" s="349"/>
      <c r="AG24" s="349"/>
      <c r="AH24" s="349"/>
      <c r="AI24" s="349"/>
    </row>
    <row r="25" spans="1:35" ht="36" customHeight="1" x14ac:dyDescent="0.3">
      <c r="A25" s="814" t="s">
        <v>698</v>
      </c>
      <c r="B25" s="814"/>
      <c r="C25" s="39">
        <v>2.7</v>
      </c>
      <c r="D25" s="39" t="s">
        <v>727</v>
      </c>
      <c r="E25" s="846" t="s">
        <v>408</v>
      </c>
      <c r="F25" s="846"/>
      <c r="G25" s="846"/>
      <c r="H25" s="846"/>
      <c r="I25" s="846"/>
      <c r="N25" s="349"/>
      <c r="O25" s="349"/>
      <c r="P25" s="349"/>
      <c r="Q25" s="349"/>
      <c r="R25" s="349"/>
      <c r="S25" s="349"/>
      <c r="T25" s="349"/>
      <c r="U25" s="349"/>
      <c r="V25" s="349"/>
      <c r="W25" s="349"/>
      <c r="X25" s="349"/>
      <c r="Y25" s="349"/>
      <c r="Z25" s="349"/>
      <c r="AA25" s="349"/>
      <c r="AB25" s="349"/>
      <c r="AC25" s="349"/>
      <c r="AD25" s="349"/>
      <c r="AE25" s="349"/>
      <c r="AF25" s="349"/>
      <c r="AG25" s="349"/>
      <c r="AH25" s="349"/>
      <c r="AI25" s="349"/>
    </row>
    <row r="26" spans="1:35" ht="20.149999999999999" customHeight="1" x14ac:dyDescent="0.3">
      <c r="A26" s="814" t="s">
        <v>695</v>
      </c>
      <c r="B26" s="814"/>
      <c r="C26" s="527">
        <f>4*8*1.33</f>
        <v>42.56</v>
      </c>
      <c r="D26" s="39" t="s">
        <v>409</v>
      </c>
      <c r="E26" s="846" t="s">
        <v>699</v>
      </c>
      <c r="F26" s="846"/>
      <c r="G26" s="846"/>
      <c r="H26" s="846"/>
      <c r="I26" s="846"/>
      <c r="N26" s="349"/>
      <c r="O26" s="349"/>
      <c r="P26" s="349"/>
      <c r="Q26" s="349"/>
      <c r="R26" s="349"/>
      <c r="S26" s="349"/>
      <c r="T26" s="349"/>
      <c r="U26" s="349"/>
      <c r="V26" s="349"/>
      <c r="W26" s="349"/>
      <c r="X26" s="349"/>
      <c r="Y26" s="349"/>
      <c r="Z26" s="349"/>
      <c r="AA26" s="349"/>
      <c r="AB26" s="349"/>
      <c r="AC26" s="349"/>
      <c r="AD26" s="349"/>
      <c r="AE26" s="349"/>
      <c r="AF26" s="349"/>
      <c r="AG26" s="349"/>
      <c r="AH26" s="349"/>
      <c r="AI26" s="349"/>
    </row>
    <row r="27" spans="1:35" ht="20.149999999999999" customHeight="1" x14ac:dyDescent="0.3">
      <c r="A27" s="814" t="s">
        <v>703</v>
      </c>
      <c r="B27" s="814"/>
      <c r="C27" s="527">
        <f>C44</f>
        <v>40.125</v>
      </c>
      <c r="D27" s="39" t="s">
        <v>704</v>
      </c>
      <c r="E27" s="845" t="s">
        <v>705</v>
      </c>
      <c r="F27" s="845"/>
      <c r="G27" s="845"/>
      <c r="H27" s="845"/>
      <c r="I27" s="845"/>
      <c r="N27" s="349"/>
      <c r="O27" s="349"/>
      <c r="P27" s="349"/>
      <c r="Q27" s="349"/>
      <c r="R27" s="349"/>
      <c r="S27" s="349"/>
      <c r="T27" s="349"/>
      <c r="U27" s="349"/>
      <c r="V27" s="349"/>
      <c r="W27" s="349"/>
      <c r="X27" s="349"/>
      <c r="Y27" s="349"/>
      <c r="Z27" s="349"/>
      <c r="AA27" s="349"/>
      <c r="AB27" s="349"/>
      <c r="AC27" s="349"/>
      <c r="AD27" s="349"/>
      <c r="AE27" s="349"/>
      <c r="AF27" s="349"/>
      <c r="AG27" s="349"/>
      <c r="AH27" s="349"/>
      <c r="AI27" s="349"/>
    </row>
    <row r="28" spans="1:35" ht="20.149999999999999" customHeight="1" x14ac:dyDescent="0.3">
      <c r="A28" s="814" t="s">
        <v>696</v>
      </c>
      <c r="B28" s="814"/>
      <c r="C28" s="538">
        <v>0.15</v>
      </c>
      <c r="D28" s="39" t="s">
        <v>260</v>
      </c>
      <c r="E28" s="846" t="s">
        <v>410</v>
      </c>
      <c r="F28" s="846"/>
      <c r="G28" s="846"/>
      <c r="H28" s="846"/>
      <c r="I28" s="846"/>
      <c r="N28" s="349"/>
      <c r="O28" s="349"/>
      <c r="P28" s="349"/>
      <c r="Q28" s="349"/>
      <c r="R28" s="349"/>
      <c r="S28" s="349"/>
      <c r="T28" s="349"/>
      <c r="U28" s="349"/>
      <c r="V28" s="349"/>
      <c r="W28" s="349"/>
      <c r="X28" s="349"/>
      <c r="Y28" s="349"/>
      <c r="Z28" s="349"/>
      <c r="AA28" s="349"/>
      <c r="AB28" s="349"/>
      <c r="AC28" s="349"/>
      <c r="AD28" s="349"/>
      <c r="AE28" s="349"/>
      <c r="AF28" s="349"/>
      <c r="AG28" s="349"/>
      <c r="AH28" s="349"/>
      <c r="AI28" s="349"/>
    </row>
    <row r="29" spans="1:35" ht="20.149999999999999" customHeight="1" x14ac:dyDescent="0.3">
      <c r="A29" s="814" t="s">
        <v>700</v>
      </c>
      <c r="B29" s="814"/>
      <c r="C29" s="510">
        <f>C26*C27/2.2*(1-C28)</f>
        <v>659.80090909090893</v>
      </c>
      <c r="D29" s="39" t="s">
        <v>701</v>
      </c>
      <c r="E29" s="846" t="s">
        <v>699</v>
      </c>
      <c r="F29" s="846"/>
      <c r="G29" s="846"/>
      <c r="H29" s="846"/>
      <c r="I29" s="846"/>
      <c r="N29" s="349"/>
      <c r="O29" s="349"/>
      <c r="P29" s="349"/>
      <c r="Q29" s="349"/>
      <c r="R29" s="349"/>
      <c r="S29" s="349"/>
      <c r="T29" s="349"/>
      <c r="U29" s="349"/>
      <c r="V29" s="349"/>
      <c r="W29" s="349"/>
      <c r="X29" s="349"/>
      <c r="Y29" s="349"/>
      <c r="Z29" s="349"/>
      <c r="AA29" s="349"/>
      <c r="AB29" s="349"/>
      <c r="AC29" s="349"/>
      <c r="AD29" s="349"/>
      <c r="AE29" s="349"/>
      <c r="AF29" s="349"/>
      <c r="AG29" s="349"/>
      <c r="AH29" s="349"/>
      <c r="AI29" s="349"/>
    </row>
    <row r="30" spans="1:35" ht="31" customHeight="1" x14ac:dyDescent="0.3">
      <c r="A30" s="814" t="s">
        <v>702</v>
      </c>
      <c r="B30" s="814"/>
      <c r="C30" s="539">
        <f>C29*C25</f>
        <v>1781.4624545454542</v>
      </c>
      <c r="D30" s="39" t="s">
        <v>697</v>
      </c>
      <c r="E30" s="846" t="s">
        <v>699</v>
      </c>
      <c r="F30" s="846"/>
      <c r="G30" s="846"/>
      <c r="H30" s="846"/>
      <c r="I30" s="846"/>
      <c r="N30" s="349"/>
      <c r="O30" s="349"/>
      <c r="P30" s="349"/>
      <c r="Q30" s="349"/>
      <c r="R30" s="349"/>
      <c r="S30" s="349"/>
      <c r="T30" s="349"/>
      <c r="U30" s="349"/>
      <c r="V30" s="349"/>
      <c r="W30" s="349"/>
      <c r="X30" s="349"/>
      <c r="Y30" s="349"/>
      <c r="Z30" s="349"/>
      <c r="AA30" s="349"/>
      <c r="AB30" s="349"/>
      <c r="AC30" s="349"/>
      <c r="AD30" s="349"/>
      <c r="AE30" s="349"/>
      <c r="AF30" s="349"/>
      <c r="AG30" s="349"/>
      <c r="AH30" s="349"/>
      <c r="AI30" s="349"/>
    </row>
    <row r="31" spans="1:35" ht="20.149999999999999" customHeight="1" x14ac:dyDescent="0.3">
      <c r="A31" s="814" t="s">
        <v>425</v>
      </c>
      <c r="B31" s="814"/>
      <c r="C31" s="510">
        <f>C30*C24</f>
        <v>57790642.025454536</v>
      </c>
      <c r="D31" s="39" t="s">
        <v>424</v>
      </c>
      <c r="E31" s="846" t="s">
        <v>699</v>
      </c>
      <c r="F31" s="846"/>
      <c r="G31" s="846"/>
      <c r="H31" s="846"/>
      <c r="I31" s="846"/>
      <c r="N31" s="349"/>
      <c r="O31" s="349"/>
      <c r="P31" s="349"/>
      <c r="Q31" s="349"/>
      <c r="R31" s="349"/>
      <c r="S31" s="349"/>
      <c r="T31" s="349"/>
      <c r="U31" s="349"/>
      <c r="V31" s="349"/>
      <c r="W31" s="349"/>
      <c r="X31" s="349"/>
      <c r="Y31" s="349"/>
      <c r="Z31" s="349"/>
      <c r="AA31" s="349"/>
      <c r="AB31" s="349"/>
      <c r="AC31" s="349"/>
      <c r="AD31" s="349"/>
      <c r="AE31" s="349"/>
      <c r="AF31" s="349"/>
      <c r="AG31" s="349"/>
      <c r="AH31" s="349"/>
      <c r="AI31" s="349"/>
    </row>
    <row r="32" spans="1:35" ht="20.149999999999999" customHeight="1" x14ac:dyDescent="0.3">
      <c r="A32" s="26" t="s">
        <v>411</v>
      </c>
      <c r="B32" s="26"/>
      <c r="C32" s="328"/>
      <c r="D32" s="26"/>
      <c r="E32" s="26"/>
      <c r="F32" s="328"/>
      <c r="G32" s="26"/>
      <c r="N32" s="349"/>
      <c r="O32" s="349"/>
      <c r="P32" s="349"/>
      <c r="Q32" s="349"/>
      <c r="R32" s="349"/>
      <c r="S32" s="349"/>
      <c r="T32" s="349"/>
      <c r="U32" s="349"/>
      <c r="V32" s="349"/>
      <c r="W32" s="349"/>
      <c r="X32" s="349"/>
      <c r="Y32" s="349"/>
      <c r="Z32" s="349"/>
      <c r="AA32" s="349"/>
      <c r="AB32" s="349"/>
      <c r="AC32" s="349"/>
      <c r="AD32" s="349"/>
      <c r="AE32" s="349"/>
      <c r="AF32" s="349"/>
      <c r="AG32" s="349"/>
      <c r="AH32" s="349"/>
      <c r="AI32" s="349"/>
    </row>
    <row r="33" spans="1:35" ht="20.149999999999999" customHeight="1" x14ac:dyDescent="0.3">
      <c r="A33" s="26" t="s">
        <v>412</v>
      </c>
      <c r="B33" s="26"/>
      <c r="C33" s="26"/>
      <c r="D33" s="26"/>
      <c r="E33" s="26"/>
      <c r="F33" s="26"/>
      <c r="G33" s="26"/>
      <c r="N33" s="349"/>
      <c r="O33" s="349"/>
      <c r="P33" s="349"/>
      <c r="Q33" s="349"/>
      <c r="R33" s="349"/>
      <c r="S33" s="349"/>
      <c r="T33" s="349"/>
      <c r="U33" s="349"/>
      <c r="V33" s="349"/>
      <c r="W33" s="349"/>
      <c r="X33" s="349"/>
      <c r="Y33" s="349"/>
      <c r="Z33" s="349"/>
      <c r="AA33" s="349"/>
      <c r="AB33" s="349"/>
      <c r="AC33" s="349"/>
      <c r="AD33" s="349"/>
      <c r="AE33" s="349"/>
      <c r="AF33" s="349"/>
      <c r="AG33" s="349"/>
      <c r="AH33" s="349"/>
      <c r="AI33" s="349"/>
    </row>
    <row r="34" spans="1:35" ht="20.149999999999999" customHeight="1" x14ac:dyDescent="0.3">
      <c r="B34" s="26"/>
      <c r="C34" s="26"/>
      <c r="D34" s="26"/>
      <c r="E34" s="26"/>
      <c r="F34" s="26"/>
      <c r="G34" s="26"/>
      <c r="N34" s="349"/>
      <c r="O34" s="349"/>
      <c r="P34" s="349"/>
      <c r="Q34" s="349"/>
      <c r="R34" s="349"/>
      <c r="S34" s="349"/>
      <c r="T34" s="349"/>
      <c r="U34" s="349"/>
      <c r="V34" s="349"/>
      <c r="W34" s="349"/>
      <c r="X34" s="349"/>
      <c r="Y34" s="349"/>
      <c r="Z34" s="349"/>
      <c r="AA34" s="349"/>
      <c r="AB34" s="349"/>
      <c r="AC34" s="349"/>
      <c r="AD34" s="349"/>
      <c r="AE34" s="349"/>
      <c r="AF34" s="349"/>
      <c r="AG34" s="349"/>
      <c r="AH34" s="349"/>
      <c r="AI34" s="349"/>
    </row>
    <row r="35" spans="1:35" ht="20.149999999999999" customHeight="1" x14ac:dyDescent="0.3">
      <c r="B35" s="713" t="s">
        <v>413</v>
      </c>
      <c r="C35" s="713" t="s">
        <v>414</v>
      </c>
      <c r="D35" s="26"/>
      <c r="E35" s="328"/>
      <c r="F35" s="26"/>
      <c r="G35" s="26"/>
      <c r="N35" s="349"/>
      <c r="O35" s="349"/>
      <c r="P35" s="349"/>
      <c r="Q35" s="349"/>
      <c r="R35" s="349"/>
      <c r="S35" s="349"/>
      <c r="T35" s="349"/>
      <c r="U35" s="349"/>
      <c r="V35" s="349"/>
      <c r="W35" s="349"/>
      <c r="X35" s="349"/>
      <c r="Y35" s="349"/>
      <c r="Z35" s="349"/>
      <c r="AA35" s="349"/>
      <c r="AB35" s="349"/>
      <c r="AC35" s="349"/>
      <c r="AD35" s="349"/>
      <c r="AE35" s="349"/>
      <c r="AF35" s="349"/>
      <c r="AG35" s="349"/>
      <c r="AH35" s="349"/>
      <c r="AI35" s="349"/>
    </row>
    <row r="36" spans="1:35" ht="20.149999999999999" customHeight="1" x14ac:dyDescent="0.3">
      <c r="B36" s="39" t="s">
        <v>415</v>
      </c>
      <c r="C36" s="517">
        <v>41</v>
      </c>
      <c r="D36" s="26"/>
      <c r="E36" s="26"/>
      <c r="F36" s="26"/>
      <c r="G36" s="26"/>
      <c r="N36" s="349"/>
      <c r="O36" s="349"/>
      <c r="P36" s="349"/>
      <c r="Q36" s="349"/>
      <c r="R36" s="349"/>
      <c r="S36" s="349"/>
      <c r="T36" s="349"/>
      <c r="U36" s="349"/>
      <c r="V36" s="349"/>
      <c r="W36" s="349"/>
      <c r="X36" s="349"/>
      <c r="Y36" s="349"/>
      <c r="Z36" s="349"/>
      <c r="AA36" s="349"/>
      <c r="AB36" s="349"/>
      <c r="AC36" s="349"/>
      <c r="AD36" s="349"/>
      <c r="AE36" s="349"/>
      <c r="AF36" s="349"/>
      <c r="AG36" s="349"/>
      <c r="AH36" s="349"/>
      <c r="AI36" s="349"/>
    </row>
    <row r="37" spans="1:35" ht="20.149999999999999" customHeight="1" x14ac:dyDescent="0.3">
      <c r="B37" s="39" t="s">
        <v>416</v>
      </c>
      <c r="C37" s="517">
        <v>40</v>
      </c>
      <c r="D37" s="26"/>
      <c r="E37" s="26"/>
      <c r="F37" s="26"/>
      <c r="G37" s="26"/>
      <c r="N37" s="349"/>
      <c r="O37" s="349"/>
      <c r="P37" s="349"/>
      <c r="Q37" s="349"/>
      <c r="R37" s="349"/>
      <c r="S37" s="349"/>
      <c r="T37" s="349"/>
      <c r="U37" s="349"/>
      <c r="V37" s="349"/>
      <c r="W37" s="349"/>
      <c r="X37" s="349"/>
      <c r="Y37" s="349"/>
      <c r="Z37" s="349"/>
      <c r="AA37" s="349"/>
      <c r="AB37" s="349"/>
      <c r="AC37" s="349"/>
      <c r="AD37" s="349"/>
      <c r="AE37" s="349"/>
      <c r="AF37" s="349"/>
      <c r="AG37" s="349"/>
      <c r="AH37" s="349"/>
      <c r="AI37" s="349"/>
    </row>
    <row r="38" spans="1:35" ht="20.149999999999999" customHeight="1" x14ac:dyDescent="0.3">
      <c r="B38" s="39" t="s">
        <v>417</v>
      </c>
      <c r="C38" s="517">
        <v>45</v>
      </c>
      <c r="D38" s="26"/>
      <c r="E38" s="26"/>
      <c r="F38" s="26"/>
      <c r="G38" s="26"/>
      <c r="N38" s="349"/>
      <c r="O38" s="349"/>
      <c r="P38" s="349"/>
      <c r="Q38" s="349"/>
      <c r="R38" s="349"/>
      <c r="S38" s="349"/>
      <c r="T38" s="349"/>
      <c r="U38" s="349"/>
      <c r="V38" s="349"/>
      <c r="W38" s="349"/>
      <c r="X38" s="349"/>
      <c r="Y38" s="349"/>
      <c r="Z38" s="349"/>
      <c r="AA38" s="349"/>
      <c r="AB38" s="349"/>
      <c r="AC38" s="349"/>
      <c r="AD38" s="349"/>
      <c r="AE38" s="349"/>
      <c r="AF38" s="349"/>
      <c r="AG38" s="349"/>
      <c r="AH38" s="349"/>
      <c r="AI38" s="349"/>
    </row>
    <row r="39" spans="1:35" ht="20.149999999999999" customHeight="1" x14ac:dyDescent="0.3">
      <c r="B39" s="39" t="s">
        <v>418</v>
      </c>
      <c r="C39" s="517">
        <v>38</v>
      </c>
      <c r="D39" s="26"/>
      <c r="E39" s="26"/>
      <c r="F39" s="26"/>
      <c r="G39" s="26"/>
      <c r="N39" s="349"/>
      <c r="O39" s="349"/>
      <c r="P39" s="349"/>
      <c r="Q39" s="349"/>
      <c r="R39" s="349"/>
      <c r="S39" s="349"/>
      <c r="T39" s="349"/>
      <c r="U39" s="349"/>
      <c r="V39" s="349"/>
      <c r="W39" s="349"/>
      <c r="X39" s="349"/>
      <c r="Y39" s="349"/>
      <c r="Z39" s="349"/>
      <c r="AA39" s="349"/>
      <c r="AB39" s="349"/>
      <c r="AC39" s="349"/>
      <c r="AD39" s="349"/>
      <c r="AE39" s="349"/>
      <c r="AF39" s="349"/>
      <c r="AG39" s="349"/>
      <c r="AH39" s="349"/>
      <c r="AI39" s="349"/>
    </row>
    <row r="40" spans="1:35" ht="20.149999999999999" customHeight="1" x14ac:dyDescent="0.3">
      <c r="B40" s="39" t="s">
        <v>419</v>
      </c>
      <c r="C40" s="517">
        <v>38</v>
      </c>
      <c r="D40" s="26"/>
      <c r="E40" s="26"/>
      <c r="F40" s="26"/>
      <c r="G40" s="26"/>
      <c r="N40" s="349"/>
      <c r="O40" s="349"/>
      <c r="P40" s="349"/>
      <c r="Q40" s="349"/>
      <c r="R40" s="349"/>
      <c r="S40" s="349"/>
      <c r="T40" s="349"/>
      <c r="U40" s="349"/>
      <c r="V40" s="349"/>
      <c r="W40" s="349"/>
      <c r="X40" s="349"/>
      <c r="Y40" s="349"/>
      <c r="Z40" s="349"/>
      <c r="AA40" s="349"/>
      <c r="AB40" s="349"/>
      <c r="AC40" s="349"/>
      <c r="AD40" s="349"/>
      <c r="AE40" s="349"/>
      <c r="AF40" s="349"/>
      <c r="AG40" s="349"/>
      <c r="AH40" s="349"/>
      <c r="AI40" s="349"/>
    </row>
    <row r="41" spans="1:35" ht="20.149999999999999" customHeight="1" x14ac:dyDescent="0.3">
      <c r="B41" s="39" t="s">
        <v>420</v>
      </c>
      <c r="C41" s="517">
        <v>33</v>
      </c>
      <c r="D41" s="26"/>
      <c r="E41" s="26"/>
      <c r="F41" s="26"/>
      <c r="G41" s="26"/>
      <c r="N41" s="349"/>
      <c r="O41" s="349"/>
      <c r="P41" s="349"/>
      <c r="Q41" s="349"/>
      <c r="R41" s="349"/>
      <c r="S41" s="349"/>
      <c r="T41" s="349"/>
      <c r="U41" s="349"/>
      <c r="V41" s="349"/>
      <c r="W41" s="349"/>
      <c r="X41" s="349"/>
      <c r="Y41" s="349"/>
      <c r="Z41" s="349"/>
      <c r="AA41" s="349"/>
      <c r="AB41" s="349"/>
      <c r="AC41" s="349"/>
      <c r="AD41" s="349"/>
      <c r="AE41" s="349"/>
      <c r="AF41" s="349"/>
      <c r="AG41" s="349"/>
      <c r="AH41" s="349"/>
      <c r="AI41" s="349"/>
    </row>
    <row r="42" spans="1:35" ht="20.149999999999999" customHeight="1" x14ac:dyDescent="0.3">
      <c r="B42" s="39" t="s">
        <v>421</v>
      </c>
      <c r="C42" s="517">
        <v>44</v>
      </c>
      <c r="D42" s="26"/>
      <c r="E42" s="26"/>
      <c r="F42" s="26"/>
      <c r="G42" s="26"/>
      <c r="N42" s="349"/>
      <c r="O42" s="349"/>
      <c r="P42" s="349"/>
      <c r="Q42" s="349"/>
      <c r="R42" s="349"/>
      <c r="S42" s="349"/>
      <c r="T42" s="349"/>
      <c r="U42" s="349"/>
      <c r="V42" s="349"/>
      <c r="W42" s="349"/>
      <c r="X42" s="349"/>
      <c r="Y42" s="349"/>
      <c r="Z42" s="349"/>
      <c r="AA42" s="349"/>
      <c r="AB42" s="349"/>
      <c r="AC42" s="349"/>
      <c r="AD42" s="349"/>
      <c r="AE42" s="349"/>
      <c r="AF42" s="349"/>
      <c r="AG42" s="349"/>
      <c r="AH42" s="349"/>
      <c r="AI42" s="349"/>
    </row>
    <row r="43" spans="1:35" ht="20.149999999999999" customHeight="1" x14ac:dyDescent="0.3">
      <c r="B43" s="39" t="s">
        <v>422</v>
      </c>
      <c r="C43" s="517">
        <v>42</v>
      </c>
      <c r="D43" s="26"/>
      <c r="E43" s="26"/>
      <c r="F43" s="26"/>
      <c r="G43" s="26"/>
      <c r="N43" s="349"/>
      <c r="O43" s="349"/>
      <c r="P43" s="349"/>
      <c r="Q43" s="349"/>
      <c r="R43" s="349"/>
      <c r="S43" s="349"/>
      <c r="T43" s="349"/>
      <c r="U43" s="349"/>
      <c r="V43" s="349"/>
      <c r="W43" s="349"/>
      <c r="X43" s="349"/>
      <c r="Y43" s="349"/>
      <c r="Z43" s="349"/>
      <c r="AA43" s="349"/>
      <c r="AB43" s="349"/>
      <c r="AC43" s="349"/>
      <c r="AD43" s="349"/>
      <c r="AE43" s="349"/>
      <c r="AF43" s="349"/>
      <c r="AG43" s="349"/>
      <c r="AH43" s="349"/>
      <c r="AI43" s="349"/>
    </row>
    <row r="44" spans="1:35" ht="20.149999999999999" customHeight="1" x14ac:dyDescent="0.3">
      <c r="B44" s="524" t="s">
        <v>423</v>
      </c>
      <c r="C44" s="515">
        <f>AVERAGE(C36:C43)</f>
        <v>40.125</v>
      </c>
      <c r="D44" s="26"/>
      <c r="E44" s="26"/>
      <c r="F44" s="26"/>
      <c r="G44" s="26"/>
      <c r="N44" s="349"/>
      <c r="O44" s="349"/>
      <c r="P44" s="349"/>
      <c r="Q44" s="349"/>
      <c r="R44" s="349"/>
      <c r="S44" s="349"/>
      <c r="T44" s="349"/>
      <c r="U44" s="349"/>
      <c r="V44" s="349"/>
      <c r="W44" s="349"/>
      <c r="X44" s="349"/>
      <c r="Y44" s="349"/>
      <c r="Z44" s="349"/>
      <c r="AA44" s="349"/>
      <c r="AB44" s="349"/>
      <c r="AC44" s="349"/>
      <c r="AD44" s="349"/>
      <c r="AE44" s="349"/>
      <c r="AF44" s="349"/>
      <c r="AG44" s="349"/>
      <c r="AH44" s="349"/>
      <c r="AI44" s="349"/>
    </row>
    <row r="45" spans="1:35" ht="20.149999999999999" customHeight="1" x14ac:dyDescent="0.3">
      <c r="B45" s="26"/>
      <c r="C45" s="26"/>
      <c r="D45" s="33"/>
      <c r="E45" s="26"/>
      <c r="F45" s="26"/>
      <c r="G45" s="26"/>
      <c r="N45" s="349"/>
      <c r="O45" s="349"/>
      <c r="P45" s="349"/>
      <c r="Q45" s="349"/>
      <c r="R45" s="349"/>
      <c r="S45" s="349"/>
      <c r="T45" s="349"/>
      <c r="U45" s="349"/>
      <c r="V45" s="349"/>
      <c r="W45" s="349"/>
      <c r="X45" s="349"/>
      <c r="Y45" s="349"/>
      <c r="Z45" s="349"/>
      <c r="AA45" s="349"/>
      <c r="AB45" s="349"/>
      <c r="AC45" s="349"/>
      <c r="AD45" s="349"/>
      <c r="AE45" s="349"/>
      <c r="AF45" s="349"/>
      <c r="AG45" s="349"/>
      <c r="AH45" s="349"/>
      <c r="AI45" s="349"/>
    </row>
    <row r="46" spans="1:35" ht="20.149999999999999" customHeight="1" x14ac:dyDescent="0.3">
      <c r="A46" s="491" t="s">
        <v>716</v>
      </c>
      <c r="B46" s="499"/>
      <c r="C46" s="499"/>
      <c r="D46" s="499"/>
      <c r="E46" s="499"/>
      <c r="F46" s="499"/>
      <c r="K46" s="349"/>
      <c r="L46" s="349"/>
      <c r="M46" s="349"/>
      <c r="N46" s="349"/>
      <c r="O46" s="349"/>
      <c r="P46" s="349"/>
      <c r="Q46" s="349"/>
      <c r="R46" s="349"/>
      <c r="S46" s="349"/>
      <c r="T46" s="349"/>
      <c r="U46" s="349"/>
      <c r="V46" s="349"/>
      <c r="W46" s="349"/>
      <c r="X46" s="349"/>
      <c r="Y46" s="349"/>
      <c r="Z46" s="349"/>
      <c r="AA46" s="349"/>
      <c r="AB46" s="349"/>
      <c r="AC46" s="349"/>
      <c r="AD46" s="349"/>
      <c r="AE46" s="349"/>
      <c r="AF46" s="349"/>
      <c r="AG46" s="349"/>
      <c r="AH46" s="349"/>
      <c r="AI46" s="349"/>
    </row>
    <row r="47" spans="1:35" ht="20.149999999999999" customHeight="1" x14ac:dyDescent="0.3">
      <c r="A47" s="773" t="s">
        <v>900</v>
      </c>
      <c r="B47" s="499"/>
      <c r="C47" s="499"/>
      <c r="D47" s="499"/>
      <c r="E47" s="499"/>
      <c r="F47" s="499"/>
      <c r="K47" s="349"/>
      <c r="L47" s="349"/>
      <c r="M47" s="349"/>
      <c r="N47" s="349"/>
      <c r="O47" s="349"/>
      <c r="P47" s="349"/>
      <c r="Q47" s="349"/>
      <c r="R47" s="349"/>
      <c r="S47" s="349"/>
      <c r="T47" s="349"/>
      <c r="U47" s="349"/>
      <c r="V47" s="349"/>
      <c r="W47" s="349"/>
      <c r="X47" s="349"/>
      <c r="Y47" s="349"/>
      <c r="Z47" s="349"/>
      <c r="AA47" s="349"/>
      <c r="AB47" s="349"/>
      <c r="AC47" s="349"/>
      <c r="AD47" s="349"/>
      <c r="AE47" s="349"/>
      <c r="AF47" s="349"/>
      <c r="AG47" s="349"/>
      <c r="AH47" s="349"/>
      <c r="AI47" s="349"/>
    </row>
    <row r="48" spans="1:35" ht="20.149999999999999" customHeight="1" x14ac:dyDescent="0.3">
      <c r="B48" s="817" t="s">
        <v>717</v>
      </c>
      <c r="C48" s="819" t="s">
        <v>734</v>
      </c>
      <c r="D48" s="820"/>
      <c r="E48" s="821"/>
      <c r="F48" s="817" t="s">
        <v>732</v>
      </c>
      <c r="G48" s="819" t="s">
        <v>366</v>
      </c>
      <c r="H48" s="820"/>
      <c r="I48" s="821"/>
    </row>
    <row r="49" spans="1:9" ht="20.149999999999999" customHeight="1" x14ac:dyDescent="0.3">
      <c r="B49" s="818"/>
      <c r="C49" s="544" t="s">
        <v>320</v>
      </c>
      <c r="D49" s="544" t="s">
        <v>718</v>
      </c>
      <c r="E49" s="544" t="s">
        <v>364</v>
      </c>
      <c r="F49" s="822"/>
      <c r="G49" s="544" t="s">
        <v>320</v>
      </c>
      <c r="H49" s="544" t="s">
        <v>718</v>
      </c>
      <c r="I49" s="544" t="s">
        <v>364</v>
      </c>
    </row>
    <row r="50" spans="1:9" ht="20.149999999999999" customHeight="1" x14ac:dyDescent="0.3">
      <c r="B50" s="553" t="s">
        <v>365</v>
      </c>
      <c r="C50" s="554"/>
      <c r="D50" s="554"/>
      <c r="E50" s="554"/>
      <c r="F50" s="554"/>
      <c r="G50" s="554"/>
      <c r="H50" s="554"/>
      <c r="I50" s="555"/>
    </row>
    <row r="51" spans="1:9" ht="20.149999999999999" customHeight="1" x14ac:dyDescent="0.3">
      <c r="B51" s="556" t="s">
        <v>329</v>
      </c>
      <c r="C51" s="545">
        <v>18100911.239104126</v>
      </c>
      <c r="D51" s="545">
        <v>270711.56769571273</v>
      </c>
      <c r="E51" s="545">
        <v>2964191.5569669628</v>
      </c>
      <c r="F51" s="545">
        <v>21335814.363766801</v>
      </c>
      <c r="G51" s="546">
        <v>0.84838154899977491</v>
      </c>
      <c r="H51" s="546">
        <v>1.2688129127868878E-2</v>
      </c>
      <c r="I51" s="546">
        <v>0.13893032187235621</v>
      </c>
    </row>
    <row r="52" spans="1:9" ht="20.149999999999999" customHeight="1" x14ac:dyDescent="0.3">
      <c r="B52" s="557" t="s">
        <v>367</v>
      </c>
      <c r="C52" s="545">
        <v>19878836.843829494</v>
      </c>
      <c r="D52" s="545">
        <v>189279.79252640318</v>
      </c>
      <c r="E52" s="545">
        <v>1267697.7274113351</v>
      </c>
      <c r="F52" s="545"/>
      <c r="G52" s="546">
        <v>0.93171212051734031</v>
      </c>
      <c r="H52" s="546">
        <v>8.8714585391146128E-3</v>
      </c>
      <c r="I52" s="546">
        <v>5.94164209435653E-2</v>
      </c>
    </row>
    <row r="53" spans="1:9" ht="20.149999999999999" customHeight="1" x14ac:dyDescent="0.3">
      <c r="B53" s="553" t="s">
        <v>404</v>
      </c>
      <c r="C53" s="547"/>
      <c r="D53" s="547"/>
      <c r="E53" s="547"/>
      <c r="F53" s="547"/>
      <c r="G53" s="547"/>
      <c r="H53" s="547"/>
      <c r="I53" s="548"/>
    </row>
    <row r="54" spans="1:9" ht="20.149999999999999" customHeight="1" x14ac:dyDescent="0.3">
      <c r="B54" s="556" t="s">
        <v>329</v>
      </c>
      <c r="C54" s="545">
        <v>2360335.3025606582</v>
      </c>
      <c r="D54" s="545">
        <v>83329.674157049521</v>
      </c>
      <c r="E54" s="545">
        <v>505401.81432786555</v>
      </c>
      <c r="F54" s="545">
        <v>2949066.7910455731</v>
      </c>
      <c r="G54" s="546">
        <v>0.92331567798150394</v>
      </c>
      <c r="H54" s="546">
        <v>1.4091260112337764E-2</v>
      </c>
      <c r="I54" s="546">
        <v>6.259306190615832E-2</v>
      </c>
    </row>
    <row r="55" spans="1:9" ht="20.149999999999999" customHeight="1" x14ac:dyDescent="0.3">
      <c r="B55" s="557" t="s">
        <v>367</v>
      </c>
      <c r="C55" s="545">
        <v>2769021.9156649718</v>
      </c>
      <c r="D55" s="545">
        <v>33144.967175140249</v>
      </c>
      <c r="E55" s="545">
        <v>146899.90820546116</v>
      </c>
      <c r="F55" s="549"/>
      <c r="G55" s="546">
        <v>0.91403356588120521</v>
      </c>
      <c r="H55" s="546">
        <v>8.2551273834767774E-3</v>
      </c>
      <c r="I55" s="546">
        <v>7.7711306735320354E-2</v>
      </c>
    </row>
    <row r="56" spans="1:9" ht="20.149999999999999" customHeight="1" x14ac:dyDescent="0.3">
      <c r="B56" s="553" t="s">
        <v>368</v>
      </c>
      <c r="C56" s="547"/>
      <c r="D56" s="547"/>
      <c r="E56" s="547"/>
      <c r="F56" s="547"/>
      <c r="G56" s="547"/>
      <c r="H56" s="547"/>
      <c r="I56" s="548"/>
    </row>
    <row r="57" spans="1:9" ht="20.149999999999999" customHeight="1" x14ac:dyDescent="0.3">
      <c r="B57" s="556" t="s">
        <v>329</v>
      </c>
      <c r="C57" s="545">
        <v>9039128.955165185</v>
      </c>
      <c r="D57" s="545">
        <v>2121894.4235250433</v>
      </c>
      <c r="E57" s="545">
        <v>1598225.8892213614</v>
      </c>
      <c r="F57" s="545">
        <v>12759249.267911591</v>
      </c>
      <c r="G57" s="546">
        <v>0.84574301043566147</v>
      </c>
      <c r="H57" s="546">
        <v>2.3619713759888496E-2</v>
      </c>
      <c r="I57" s="546">
        <v>0.13063727580445006</v>
      </c>
    </row>
    <row r="58" spans="1:9" ht="20.149999999999999" customHeight="1" x14ac:dyDescent="0.3">
      <c r="B58" s="557" t="s">
        <v>367</v>
      </c>
      <c r="C58" s="545">
        <v>10882586.352817314</v>
      </c>
      <c r="D58" s="545">
        <v>1159935.2589599579</v>
      </c>
      <c r="E58" s="545">
        <v>716727.65613431891</v>
      </c>
      <c r="F58" s="545"/>
      <c r="G58" s="546">
        <v>0.8455924785081077</v>
      </c>
      <c r="H58" s="546">
        <v>6.6772774571908319E-2</v>
      </c>
      <c r="I58" s="546">
        <v>8.7634746919979564E-2</v>
      </c>
    </row>
    <row r="59" spans="1:9" ht="20.149999999999999" customHeight="1" x14ac:dyDescent="0.3">
      <c r="B59" s="553" t="s">
        <v>369</v>
      </c>
      <c r="C59" s="547"/>
      <c r="D59" s="547"/>
      <c r="E59" s="547"/>
      <c r="F59" s="547"/>
      <c r="G59" s="547"/>
      <c r="H59" s="547"/>
      <c r="I59" s="548"/>
    </row>
    <row r="60" spans="1:9" ht="20.149999999999999" customHeight="1" x14ac:dyDescent="0.3">
      <c r="B60" s="556" t="s">
        <v>329</v>
      </c>
      <c r="C60" s="545">
        <v>67603.9067105906</v>
      </c>
      <c r="D60" s="545">
        <v>0</v>
      </c>
      <c r="E60" s="545">
        <v>1350.7875707016128</v>
      </c>
      <c r="F60" s="545">
        <v>68954.694281292206</v>
      </c>
      <c r="G60" s="546">
        <v>0.98381465388456835</v>
      </c>
      <c r="H60" s="546">
        <v>1.2455638912192038E-3</v>
      </c>
      <c r="I60" s="546">
        <v>1.4939782224212439E-2</v>
      </c>
    </row>
    <row r="61" spans="1:9" ht="20.149999999999999" customHeight="1" x14ac:dyDescent="0.3">
      <c r="B61" s="558" t="s">
        <v>367</v>
      </c>
      <c r="C61" s="545">
        <v>68954.694281292206</v>
      </c>
      <c r="D61" s="545">
        <v>0</v>
      </c>
      <c r="E61" s="545">
        <v>0</v>
      </c>
      <c r="F61" s="545"/>
      <c r="G61" s="546">
        <v>1</v>
      </c>
      <c r="H61" s="546">
        <v>0</v>
      </c>
      <c r="I61" s="546">
        <v>0</v>
      </c>
    </row>
    <row r="62" spans="1:9" ht="20.149999999999999" customHeight="1" x14ac:dyDescent="0.3">
      <c r="E62" s="512"/>
    </row>
    <row r="63" spans="1:9" ht="20.149999999999999" customHeight="1" x14ac:dyDescent="0.3">
      <c r="A63" s="491" t="s">
        <v>324</v>
      </c>
    </row>
    <row r="64" spans="1:9" ht="20.149999999999999" customHeight="1" x14ac:dyDescent="0.3">
      <c r="A64" s="26" t="s">
        <v>745</v>
      </c>
    </row>
    <row r="65" spans="2:5" ht="36" customHeight="1" x14ac:dyDescent="0.3">
      <c r="B65" s="522" t="s">
        <v>322</v>
      </c>
      <c r="C65" s="522" t="s">
        <v>27</v>
      </c>
      <c r="D65" s="522" t="s">
        <v>323</v>
      </c>
      <c r="E65" s="616" t="s">
        <v>742</v>
      </c>
    </row>
    <row r="66" spans="2:5" ht="20.149999999999999" customHeight="1" x14ac:dyDescent="0.3">
      <c r="B66" s="815" t="s">
        <v>97</v>
      </c>
      <c r="C66" s="801" t="s">
        <v>19</v>
      </c>
      <c r="D66" s="362" t="s">
        <v>325</v>
      </c>
      <c r="E66" s="552">
        <v>40.617860392600917</v>
      </c>
    </row>
    <row r="67" spans="2:5" ht="20.149999999999999" customHeight="1" x14ac:dyDescent="0.3">
      <c r="B67" s="815"/>
      <c r="C67" s="801"/>
      <c r="D67" s="362" t="s">
        <v>733</v>
      </c>
      <c r="E67" s="552">
        <v>34.815863032144357</v>
      </c>
    </row>
    <row r="68" spans="2:5" ht="20.149999999999999" customHeight="1" x14ac:dyDescent="0.3">
      <c r="B68" s="815"/>
      <c r="C68" s="801"/>
      <c r="D68" s="362" t="s">
        <v>326</v>
      </c>
      <c r="E68" s="552">
        <v>18.098390538943818</v>
      </c>
    </row>
    <row r="69" spans="2:5" ht="20.149999999999999" customHeight="1" x14ac:dyDescent="0.3">
      <c r="B69" s="815"/>
      <c r="C69" s="801"/>
      <c r="D69" s="362" t="s">
        <v>327</v>
      </c>
      <c r="E69" s="552">
        <v>24.752611763749673</v>
      </c>
    </row>
    <row r="70" spans="2:5" ht="20.149999999999999" customHeight="1" x14ac:dyDescent="0.3">
      <c r="B70" s="815" t="s">
        <v>328</v>
      </c>
      <c r="C70" s="801" t="s">
        <v>19</v>
      </c>
      <c r="D70" s="362" t="s">
        <v>325</v>
      </c>
      <c r="E70" s="552">
        <v>16.157923374044717</v>
      </c>
    </row>
    <row r="71" spans="2:5" ht="20.149999999999999" customHeight="1" x14ac:dyDescent="0.3">
      <c r="B71" s="815"/>
      <c r="C71" s="801"/>
      <c r="D71" s="362" t="s">
        <v>733</v>
      </c>
      <c r="E71" s="552">
        <v>14.197795660784042</v>
      </c>
    </row>
    <row r="72" spans="2:5" ht="20.149999999999999" customHeight="1" x14ac:dyDescent="0.3">
      <c r="B72" s="815"/>
      <c r="C72" s="801"/>
      <c r="D72" s="362" t="s">
        <v>326</v>
      </c>
      <c r="E72" s="552">
        <v>4.3809812353024942</v>
      </c>
    </row>
    <row r="73" spans="2:5" ht="20.149999999999999" customHeight="1" x14ac:dyDescent="0.3">
      <c r="B73" s="815"/>
      <c r="C73" s="801"/>
      <c r="D73" s="362" t="s">
        <v>327</v>
      </c>
      <c r="E73" s="552">
        <v>1.1352234210645991</v>
      </c>
    </row>
    <row r="74" spans="2:5" ht="20.149999999999999" customHeight="1" x14ac:dyDescent="0.3">
      <c r="B74" s="815" t="s">
        <v>329</v>
      </c>
      <c r="C74" s="801" t="s">
        <v>19</v>
      </c>
      <c r="D74" s="362" t="s">
        <v>325</v>
      </c>
      <c r="E74" s="552">
        <v>516.67000000000007</v>
      </c>
    </row>
    <row r="75" spans="2:5" ht="20.149999999999999" customHeight="1" x14ac:dyDescent="0.3">
      <c r="B75" s="815"/>
      <c r="C75" s="801"/>
      <c r="D75" s="362" t="s">
        <v>733</v>
      </c>
      <c r="E75" s="552">
        <v>465.00280000000004</v>
      </c>
    </row>
    <row r="76" spans="2:5" ht="20.149999999999999" customHeight="1" x14ac:dyDescent="0.3">
      <c r="B76" s="815"/>
      <c r="C76" s="801"/>
      <c r="D76" s="362" t="s">
        <v>326</v>
      </c>
      <c r="E76" s="552">
        <v>361.66919999999999</v>
      </c>
    </row>
    <row r="77" spans="2:5" ht="20.149999999999999" customHeight="1" x14ac:dyDescent="0.3">
      <c r="B77" s="815"/>
      <c r="C77" s="801"/>
      <c r="D77" s="362" t="s">
        <v>327</v>
      </c>
      <c r="E77" s="552">
        <v>723.33809999999983</v>
      </c>
    </row>
    <row r="78" spans="2:5" ht="20.149999999999999" customHeight="1" x14ac:dyDescent="0.3">
      <c r="B78" s="815"/>
      <c r="C78" s="801" t="s">
        <v>20</v>
      </c>
      <c r="D78" s="362" t="s">
        <v>325</v>
      </c>
      <c r="E78" s="552">
        <v>584.2924753933338</v>
      </c>
    </row>
    <row r="79" spans="2:5" ht="20.149999999999999" customHeight="1" x14ac:dyDescent="0.3">
      <c r="B79" s="815"/>
      <c r="C79" s="801"/>
      <c r="D79" s="362" t="s">
        <v>733</v>
      </c>
      <c r="E79" s="552">
        <v>525.8630016777272</v>
      </c>
    </row>
    <row r="80" spans="2:5" ht="20.149999999999999" customHeight="1" x14ac:dyDescent="0.3">
      <c r="B80" s="815"/>
      <c r="C80" s="801"/>
      <c r="D80" s="362" t="s">
        <v>326</v>
      </c>
      <c r="E80" s="552">
        <v>409.0049589516068</v>
      </c>
    </row>
    <row r="81" spans="2:5" ht="20.149999999999999" customHeight="1" x14ac:dyDescent="0.3">
      <c r="B81" s="815"/>
      <c r="C81" s="801"/>
      <c r="D81" s="362" t="s">
        <v>327</v>
      </c>
      <c r="E81" s="552">
        <v>818.00957863880365</v>
      </c>
    </row>
    <row r="82" spans="2:5" ht="20.149999999999999" customHeight="1" x14ac:dyDescent="0.3">
      <c r="B82" s="815"/>
      <c r="C82" s="801" t="s">
        <v>21</v>
      </c>
      <c r="D82" s="362" t="s">
        <v>325</v>
      </c>
      <c r="E82" s="552">
        <v>662.39743589743591</v>
      </c>
    </row>
    <row r="83" spans="2:5" ht="20.149999999999999" customHeight="1" x14ac:dyDescent="0.3">
      <c r="B83" s="815"/>
      <c r="C83" s="801"/>
      <c r="D83" s="362" t="s">
        <v>733</v>
      </c>
      <c r="E83" s="552">
        <v>596.1574358974359</v>
      </c>
    </row>
    <row r="84" spans="2:5" ht="20.149999999999999" customHeight="1" x14ac:dyDescent="0.3">
      <c r="B84" s="815"/>
      <c r="C84" s="801"/>
      <c r="D84" s="362" t="s">
        <v>326</v>
      </c>
      <c r="E84" s="552">
        <v>463.67846153846153</v>
      </c>
    </row>
    <row r="85" spans="2:5" ht="20.149999999999999" customHeight="1" x14ac:dyDescent="0.3">
      <c r="B85" s="815"/>
      <c r="C85" s="801"/>
      <c r="D85" s="362" t="s">
        <v>327</v>
      </c>
      <c r="E85" s="552">
        <v>927.35653846153821</v>
      </c>
    </row>
    <row r="86" spans="2:5" ht="20.149999999999999" customHeight="1" x14ac:dyDescent="0.3">
      <c r="B86" s="815" t="s">
        <v>330</v>
      </c>
      <c r="C86" s="801" t="s">
        <v>19</v>
      </c>
      <c r="D86" s="362" t="s">
        <v>325</v>
      </c>
      <c r="E86" s="552">
        <v>54.736118822720307</v>
      </c>
    </row>
    <row r="87" spans="2:5" ht="20.149999999999999" customHeight="1" x14ac:dyDescent="0.3">
      <c r="B87" s="815"/>
      <c r="C87" s="801"/>
      <c r="D87" s="362" t="s">
        <v>733</v>
      </c>
      <c r="E87" s="552">
        <v>117.68293399489265</v>
      </c>
    </row>
    <row r="88" spans="2:5" ht="20.149999999999999" customHeight="1" x14ac:dyDescent="0.3">
      <c r="B88" s="815"/>
      <c r="C88" s="801"/>
      <c r="D88" s="362" t="s">
        <v>326</v>
      </c>
      <c r="E88" s="552">
        <v>114.56267223263529</v>
      </c>
    </row>
    <row r="89" spans="2:5" ht="20.149999999999999" customHeight="1" x14ac:dyDescent="0.3">
      <c r="B89" s="815"/>
      <c r="C89" s="801"/>
      <c r="D89" s="362" t="s">
        <v>327</v>
      </c>
      <c r="E89" s="552">
        <v>79.878557944532005</v>
      </c>
    </row>
    <row r="90" spans="2:5" ht="20.149999999999999" customHeight="1" x14ac:dyDescent="0.3">
      <c r="B90" s="815"/>
      <c r="C90" s="801" t="s">
        <v>20</v>
      </c>
      <c r="D90" s="362" t="s">
        <v>325</v>
      </c>
      <c r="E90" s="552">
        <v>61.900056826118984</v>
      </c>
    </row>
    <row r="91" spans="2:5" ht="20.149999999999999" customHeight="1" x14ac:dyDescent="0.3">
      <c r="B91" s="815"/>
      <c r="C91" s="801"/>
      <c r="D91" s="362" t="s">
        <v>733</v>
      </c>
      <c r="E91" s="552">
        <v>133.08543715606893</v>
      </c>
    </row>
    <row r="92" spans="2:5" ht="20.149999999999999" customHeight="1" x14ac:dyDescent="0.3">
      <c r="B92" s="815"/>
      <c r="C92" s="801"/>
      <c r="D92" s="362" t="s">
        <v>326</v>
      </c>
      <c r="E92" s="552">
        <v>129.5567912719562</v>
      </c>
    </row>
    <row r="93" spans="2:5" ht="20.149999999999999" customHeight="1" x14ac:dyDescent="0.3">
      <c r="B93" s="815"/>
      <c r="C93" s="801"/>
      <c r="D93" s="362" t="s">
        <v>327</v>
      </c>
      <c r="E93" s="552">
        <v>90.333172725841351</v>
      </c>
    </row>
    <row r="94" spans="2:5" ht="20.149999999999999" customHeight="1" x14ac:dyDescent="0.3">
      <c r="B94" s="815"/>
      <c r="C94" s="801" t="s">
        <v>21</v>
      </c>
      <c r="D94" s="362" t="s">
        <v>325</v>
      </c>
      <c r="E94" s="552">
        <v>70.174511311179884</v>
      </c>
    </row>
    <row r="95" spans="2:5" ht="20.149999999999999" customHeight="1" x14ac:dyDescent="0.3">
      <c r="B95" s="815"/>
      <c r="C95" s="801"/>
      <c r="D95" s="362" t="s">
        <v>733</v>
      </c>
      <c r="E95" s="552">
        <v>150.87555640370852</v>
      </c>
    </row>
    <row r="96" spans="2:5" ht="20.149999999999999" customHeight="1" x14ac:dyDescent="0.3">
      <c r="B96" s="815"/>
      <c r="C96" s="801"/>
      <c r="D96" s="362" t="s">
        <v>326</v>
      </c>
      <c r="E96" s="552">
        <v>146.87522081107088</v>
      </c>
    </row>
    <row r="97" spans="1:6" ht="20.149999999999999" customHeight="1" x14ac:dyDescent="0.3">
      <c r="B97" s="815"/>
      <c r="C97" s="801"/>
      <c r="D97" s="362" t="s">
        <v>327</v>
      </c>
      <c r="E97" s="552">
        <v>102.40840762119487</v>
      </c>
    </row>
    <row r="98" spans="1:6" ht="20.149999999999999" customHeight="1" x14ac:dyDescent="0.3">
      <c r="B98" s="815" t="s">
        <v>331</v>
      </c>
      <c r="C98" s="801" t="s">
        <v>19</v>
      </c>
      <c r="D98" s="362" t="s">
        <v>325</v>
      </c>
      <c r="E98" s="552">
        <v>119.71398054128503</v>
      </c>
    </row>
    <row r="99" spans="1:6" ht="20.149999999999999" customHeight="1" x14ac:dyDescent="0.3">
      <c r="B99" s="815"/>
      <c r="C99" s="801"/>
      <c r="D99" s="362" t="s">
        <v>733</v>
      </c>
      <c r="E99" s="552">
        <v>125.92950941603092</v>
      </c>
    </row>
    <row r="100" spans="1:6" ht="20.149999999999999" customHeight="1" x14ac:dyDescent="0.3">
      <c r="B100" s="815"/>
      <c r="C100" s="801"/>
      <c r="D100" s="362" t="s">
        <v>326</v>
      </c>
      <c r="E100" s="552">
        <v>137.43324181269557</v>
      </c>
    </row>
    <row r="101" spans="1:6" ht="20.149999999999999" customHeight="1" x14ac:dyDescent="0.3">
      <c r="B101" s="815"/>
      <c r="C101" s="801"/>
      <c r="D101" s="362" t="s">
        <v>327</v>
      </c>
      <c r="E101" s="552">
        <v>127.81677160165921</v>
      </c>
    </row>
    <row r="103" spans="1:6" ht="20.149999999999999" customHeight="1" x14ac:dyDescent="0.3">
      <c r="A103" s="491" t="s">
        <v>340</v>
      </c>
      <c r="B103" s="507"/>
    </row>
    <row r="104" spans="1:6" ht="52" customHeight="1" x14ac:dyDescent="0.3">
      <c r="B104" s="522" t="s">
        <v>322</v>
      </c>
      <c r="C104" s="522" t="s">
        <v>27</v>
      </c>
      <c r="D104" s="522" t="s">
        <v>323</v>
      </c>
      <c r="E104" s="616" t="s">
        <v>332</v>
      </c>
      <c r="F104" s="616" t="s">
        <v>371</v>
      </c>
    </row>
    <row r="105" spans="1:6" ht="20.149999999999999" customHeight="1" x14ac:dyDescent="0.3">
      <c r="B105" s="816" t="s">
        <v>97</v>
      </c>
      <c r="C105" s="801" t="s">
        <v>19</v>
      </c>
      <c r="D105" s="362" t="s">
        <v>325</v>
      </c>
      <c r="E105" s="482">
        <f>E66*F51</f>
        <v>866615129.18992925</v>
      </c>
      <c r="F105" s="823">
        <f>SUM(E105:E108)/(SUM(E105:E108)+SUM(E109:E112)+SUM(E113:E116)+SUM(E125:E128)+SUM(E137:E140))</f>
        <v>5.2793336326688256E-2</v>
      </c>
    </row>
    <row r="106" spans="1:6" ht="20.149999999999999" customHeight="1" x14ac:dyDescent="0.3">
      <c r="B106" s="816"/>
      <c r="C106" s="801"/>
      <c r="D106" s="362" t="s">
        <v>733</v>
      </c>
      <c r="E106" s="482">
        <f>E67*F54</f>
        <v>102674305.46968815</v>
      </c>
      <c r="F106" s="824"/>
    </row>
    <row r="107" spans="1:6" ht="20.149999999999999" customHeight="1" x14ac:dyDescent="0.3">
      <c r="B107" s="816"/>
      <c r="C107" s="801"/>
      <c r="D107" s="362" t="s">
        <v>326</v>
      </c>
      <c r="E107" s="482">
        <f>E68*F57</f>
        <v>230921876.23439696</v>
      </c>
      <c r="F107" s="824"/>
    </row>
    <row r="108" spans="1:6" ht="20.149999999999999" customHeight="1" x14ac:dyDescent="0.3">
      <c r="B108" s="816"/>
      <c r="C108" s="801"/>
      <c r="D108" s="362" t="s">
        <v>327</v>
      </c>
      <c r="E108" s="482">
        <f>E69*F60</f>
        <v>1706808.7768328758</v>
      </c>
      <c r="F108" s="824"/>
    </row>
    <row r="109" spans="1:6" ht="20.149999999999999" customHeight="1" x14ac:dyDescent="0.3">
      <c r="B109" s="816" t="s">
        <v>328</v>
      </c>
      <c r="C109" s="801" t="s">
        <v>19</v>
      </c>
      <c r="D109" s="362" t="s">
        <v>325</v>
      </c>
      <c r="E109" s="482">
        <f>E70*F51</f>
        <v>344742453.61258662</v>
      </c>
      <c r="F109" s="823">
        <f>SUM(E109:E112)/(SUM(E105:E108)+SUM(E109:E112)+SUM(E113:E116)+SUM(E125:E128)+SUM(E137:E140))</f>
        <v>1.9440384646501156E-2</v>
      </c>
    </row>
    <row r="110" spans="1:6" ht="20.149999999999999" customHeight="1" x14ac:dyDescent="0.3">
      <c r="B110" s="816"/>
      <c r="C110" s="801"/>
      <c r="D110" s="362" t="s">
        <v>733</v>
      </c>
      <c r="E110" s="482">
        <f>E71*F54</f>
        <v>41870247.689269155</v>
      </c>
      <c r="F110" s="824"/>
    </row>
    <row r="111" spans="1:6" ht="20.149999999999999" customHeight="1" x14ac:dyDescent="0.3">
      <c r="B111" s="816"/>
      <c r="C111" s="801"/>
      <c r="D111" s="362" t="s">
        <v>326</v>
      </c>
      <c r="E111" s="482">
        <f>E72*F57</f>
        <v>55898031.619267762</v>
      </c>
      <c r="F111" s="824"/>
    </row>
    <row r="112" spans="1:6" ht="20.149999999999999" customHeight="1" x14ac:dyDescent="0.3">
      <c r="B112" s="816"/>
      <c r="C112" s="801"/>
      <c r="D112" s="362" t="s">
        <v>327</v>
      </c>
      <c r="E112" s="482">
        <f>E73*F60</f>
        <v>78278.983940472084</v>
      </c>
      <c r="F112" s="824"/>
    </row>
    <row r="113" spans="2:6" ht="20.149999999999999" customHeight="1" x14ac:dyDescent="0.3">
      <c r="B113" s="816" t="s">
        <v>329</v>
      </c>
      <c r="C113" s="801" t="s">
        <v>19</v>
      </c>
      <c r="D113" s="362" t="s">
        <v>325</v>
      </c>
      <c r="E113" s="482">
        <f>E74*C51</f>
        <v>9352197809.9079304</v>
      </c>
      <c r="F113" s="823">
        <f>SUM(E113:E116)/(SUM(E105:E108)+SUM(E109:E112)+SUM(E113:E116)+SUM(E125:E128)+SUM(E137:E140))</f>
        <v>0.60474166287383113</v>
      </c>
    </row>
    <row r="114" spans="2:6" ht="20.149999999999999" customHeight="1" x14ac:dyDescent="0.3">
      <c r="B114" s="816"/>
      <c r="C114" s="801"/>
      <c r="D114" s="362" t="s">
        <v>733</v>
      </c>
      <c r="E114" s="482">
        <f>E75*C54</f>
        <v>1097562524.6295533</v>
      </c>
      <c r="F114" s="824"/>
    </row>
    <row r="115" spans="2:6" ht="20.149999999999999" customHeight="1" x14ac:dyDescent="0.3">
      <c r="B115" s="816"/>
      <c r="C115" s="801"/>
      <c r="D115" s="362" t="s">
        <v>326</v>
      </c>
      <c r="E115" s="482">
        <f>E76*C57</f>
        <v>3269174537.9114285</v>
      </c>
      <c r="F115" s="824"/>
    </row>
    <row r="116" spans="2:6" ht="20.149999999999999" customHeight="1" x14ac:dyDescent="0.3">
      <c r="B116" s="816"/>
      <c r="C116" s="801"/>
      <c r="D116" s="362" t="s">
        <v>327</v>
      </c>
      <c r="E116" s="482">
        <f>E77*C60</f>
        <v>48900481.432615839</v>
      </c>
      <c r="F116" s="824"/>
    </row>
    <row r="117" spans="2:6" ht="20.149999999999999" customHeight="1" x14ac:dyDescent="0.3">
      <c r="B117" s="816"/>
      <c r="C117" s="801" t="s">
        <v>20</v>
      </c>
      <c r="D117" s="362" t="s">
        <v>325</v>
      </c>
      <c r="E117" s="482">
        <f>E78*D51</f>
        <v>158174732.00653803</v>
      </c>
      <c r="F117" s="825">
        <f>SUM(E117:E120)/(SUM(E117:E120)+SUM(E129:E132))</f>
        <v>0.86539696642860187</v>
      </c>
    </row>
    <row r="118" spans="2:6" ht="20.149999999999999" customHeight="1" x14ac:dyDescent="0.3">
      <c r="B118" s="816"/>
      <c r="C118" s="801"/>
      <c r="D118" s="362" t="s">
        <v>733</v>
      </c>
      <c r="E118" s="482">
        <f>E79*D54</f>
        <v>43819992.581052996</v>
      </c>
      <c r="F118" s="826"/>
    </row>
    <row r="119" spans="2:6" ht="20.149999999999999" customHeight="1" x14ac:dyDescent="0.3">
      <c r="B119" s="816"/>
      <c r="C119" s="801"/>
      <c r="D119" s="362" t="s">
        <v>326</v>
      </c>
      <c r="E119" s="482">
        <f>E80*D57</f>
        <v>867865341.59350371</v>
      </c>
      <c r="F119" s="826"/>
    </row>
    <row r="120" spans="2:6" ht="20.149999999999999" customHeight="1" x14ac:dyDescent="0.3">
      <c r="B120" s="816"/>
      <c r="C120" s="801"/>
      <c r="D120" s="362" t="s">
        <v>327</v>
      </c>
      <c r="E120" s="482">
        <f>E81*D60</f>
        <v>0</v>
      </c>
      <c r="F120" s="826"/>
    </row>
    <row r="121" spans="2:6" ht="20.149999999999999" customHeight="1" x14ac:dyDescent="0.3">
      <c r="B121" s="816"/>
      <c r="C121" s="801" t="s">
        <v>21</v>
      </c>
      <c r="D121" s="362" t="s">
        <v>325</v>
      </c>
      <c r="E121" s="482">
        <f>E82*E51</f>
        <v>1963472886.8437445</v>
      </c>
      <c r="F121" s="827">
        <f>SUM(E121:E124)/(SUM(E121:E124)+SUM(E133:E136))</f>
        <v>0.93286970668682467</v>
      </c>
    </row>
    <row r="122" spans="2:6" ht="20.149999999999999" customHeight="1" x14ac:dyDescent="0.3">
      <c r="B122" s="816"/>
      <c r="C122" s="801"/>
      <c r="D122" s="362" t="s">
        <v>733</v>
      </c>
      <c r="E122" s="482">
        <f>E83*E54</f>
        <v>301299049.72761232</v>
      </c>
      <c r="F122" s="828"/>
    </row>
    <row r="123" spans="2:6" ht="20.149999999999999" customHeight="1" x14ac:dyDescent="0.3">
      <c r="B123" s="816"/>
      <c r="C123" s="801"/>
      <c r="D123" s="362" t="s">
        <v>326</v>
      </c>
      <c r="E123" s="482">
        <f>E84*E57</f>
        <v>741062921.50510049</v>
      </c>
      <c r="F123" s="828"/>
    </row>
    <row r="124" spans="2:6" ht="20.149999999999999" customHeight="1" x14ac:dyDescent="0.3">
      <c r="B124" s="816"/>
      <c r="C124" s="801"/>
      <c r="D124" s="362" t="s">
        <v>327</v>
      </c>
      <c r="E124" s="482">
        <f>E85*E60</f>
        <v>1252661.6857627181</v>
      </c>
      <c r="F124" s="828"/>
    </row>
    <row r="125" spans="2:6" ht="20.149999999999999" customHeight="1" x14ac:dyDescent="0.3">
      <c r="B125" s="816" t="s">
        <v>330</v>
      </c>
      <c r="C125" s="801" t="s">
        <v>19</v>
      </c>
      <c r="D125" s="362" t="s">
        <v>325</v>
      </c>
      <c r="E125" s="482">
        <f>E86*C52</f>
        <v>1088090375.5413215</v>
      </c>
      <c r="F125" s="823">
        <f>SUM(E125:E128)/(SUM(E105:E108)+SUM(E109:E112)+SUM(E113:E116)+SUM(E125:E128)+SUM(E137:E140))</f>
        <v>0.1171109400597812</v>
      </c>
    </row>
    <row r="126" spans="2:6" ht="20.149999999999999" customHeight="1" x14ac:dyDescent="0.3">
      <c r="B126" s="816"/>
      <c r="C126" s="801"/>
      <c r="D126" s="362" t="s">
        <v>733</v>
      </c>
      <c r="E126" s="482">
        <f>E87*C55</f>
        <v>325866623.33161205</v>
      </c>
      <c r="F126" s="824"/>
    </row>
    <row r="127" spans="2:6" ht="20.149999999999999" customHeight="1" x14ac:dyDescent="0.3">
      <c r="B127" s="816"/>
      <c r="C127" s="801"/>
      <c r="D127" s="362" t="s">
        <v>326</v>
      </c>
      <c r="E127" s="482">
        <f>E88*C58</f>
        <v>1246738173.3811598</v>
      </c>
      <c r="F127" s="824"/>
    </row>
    <row r="128" spans="2:6" ht="20.149999999999999" customHeight="1" x14ac:dyDescent="0.3">
      <c r="B128" s="816"/>
      <c r="C128" s="801"/>
      <c r="D128" s="362" t="s">
        <v>327</v>
      </c>
      <c r="E128" s="482">
        <f>E89*C61</f>
        <v>5508001.542695689</v>
      </c>
      <c r="F128" s="824"/>
    </row>
    <row r="129" spans="1:6" ht="20.149999999999999" customHeight="1" x14ac:dyDescent="0.3">
      <c r="B129" s="816"/>
      <c r="C129" s="801" t="s">
        <v>20</v>
      </c>
      <c r="D129" s="362" t="s">
        <v>325</v>
      </c>
      <c r="E129" s="482">
        <f>E90*D52</f>
        <v>11716429.913420368</v>
      </c>
      <c r="F129" s="825">
        <f>SUM(E129:E132)/(SUM(E117:E120)+SUM(E129:E132))</f>
        <v>0.13460303357139805</v>
      </c>
    </row>
    <row r="130" spans="1:6" ht="20.149999999999999" customHeight="1" x14ac:dyDescent="0.3">
      <c r="B130" s="816"/>
      <c r="C130" s="801"/>
      <c r="D130" s="362" t="s">
        <v>733</v>
      </c>
      <c r="E130" s="482">
        <f>E91*D55</f>
        <v>4411112.4460270954</v>
      </c>
      <c r="F130" s="826"/>
    </row>
    <row r="131" spans="1:6" ht="20.149999999999999" customHeight="1" x14ac:dyDescent="0.3">
      <c r="B131" s="816"/>
      <c r="C131" s="801"/>
      <c r="D131" s="362" t="s">
        <v>326</v>
      </c>
      <c r="E131" s="482">
        <f>E92*D58</f>
        <v>150277490.23405772</v>
      </c>
      <c r="F131" s="826"/>
    </row>
    <row r="132" spans="1:6" ht="20.149999999999999" customHeight="1" x14ac:dyDescent="0.3">
      <c r="B132" s="816"/>
      <c r="C132" s="801"/>
      <c r="D132" s="362" t="s">
        <v>327</v>
      </c>
      <c r="E132" s="482">
        <f>E93*D61</f>
        <v>0</v>
      </c>
      <c r="F132" s="826"/>
    </row>
    <row r="133" spans="1:6" ht="20.149999999999999" customHeight="1" x14ac:dyDescent="0.3">
      <c r="B133" s="816"/>
      <c r="C133" s="801" t="s">
        <v>21</v>
      </c>
      <c r="D133" s="362" t="s">
        <v>325</v>
      </c>
      <c r="E133" s="482">
        <f>E94*E52</f>
        <v>88960068.511383772</v>
      </c>
      <c r="F133" s="827">
        <f>SUM(E133:E136)/(SUM(E121:E124)+SUM(E133:E136))</f>
        <v>6.7130293313175299E-2</v>
      </c>
    </row>
    <row r="134" spans="1:6" ht="20.149999999999999" customHeight="1" x14ac:dyDescent="0.3">
      <c r="B134" s="816"/>
      <c r="C134" s="801"/>
      <c r="D134" s="362" t="s">
        <v>733</v>
      </c>
      <c r="E134" s="482">
        <f>E95*E55</f>
        <v>22163605.386152659</v>
      </c>
      <c r="F134" s="828"/>
    </row>
    <row r="135" spans="1:6" ht="20.149999999999999" customHeight="1" x14ac:dyDescent="0.3">
      <c r="B135" s="816"/>
      <c r="C135" s="801"/>
      <c r="D135" s="362" t="s">
        <v>326</v>
      </c>
      <c r="E135" s="482">
        <f>E96*E58</f>
        <v>105269532.75612937</v>
      </c>
      <c r="F135" s="828"/>
    </row>
    <row r="136" spans="1:6" ht="20.149999999999999" customHeight="1" x14ac:dyDescent="0.3">
      <c r="B136" s="816"/>
      <c r="C136" s="801"/>
      <c r="D136" s="362" t="s">
        <v>327</v>
      </c>
      <c r="E136" s="482">
        <f>E97*E61</f>
        <v>0</v>
      </c>
      <c r="F136" s="828"/>
    </row>
    <row r="137" spans="1:6" ht="20.149999999999999" customHeight="1" x14ac:dyDescent="0.3">
      <c r="B137" s="816" t="s">
        <v>331</v>
      </c>
      <c r="C137" s="801" t="s">
        <v>19</v>
      </c>
      <c r="D137" s="362" t="s">
        <v>325</v>
      </c>
      <c r="E137" s="482">
        <f>E98*F51</f>
        <v>2554195265.5764484</v>
      </c>
      <c r="F137" s="823">
        <f>SUM(E137:E140)/(SUM(E105:E108)+SUM(E109:E112)+SUM(E113:E116)+SUM(E125:E128)+SUM(E137:E140))</f>
        <v>0.20591367609319822</v>
      </c>
    </row>
    <row r="138" spans="1:6" ht="20.149999999999999" customHeight="1" x14ac:dyDescent="0.3">
      <c r="B138" s="816"/>
      <c r="C138" s="801"/>
      <c r="D138" s="362" t="s">
        <v>733</v>
      </c>
      <c r="E138" s="482">
        <f>E99*F54</f>
        <v>371374534.23147762</v>
      </c>
      <c r="F138" s="824"/>
    </row>
    <row r="139" spans="1:6" ht="20.149999999999999" customHeight="1" x14ac:dyDescent="0.3">
      <c r="B139" s="816"/>
      <c r="C139" s="801"/>
      <c r="D139" s="362" t="s">
        <v>326</v>
      </c>
      <c r="E139" s="482">
        <f>E100*F57</f>
        <v>1753544989.9853525</v>
      </c>
      <c r="F139" s="824"/>
    </row>
    <row r="140" spans="1:6" ht="20.149999999999999" customHeight="1" x14ac:dyDescent="0.3">
      <c r="B140" s="816"/>
      <c r="C140" s="801"/>
      <c r="D140" s="362" t="s">
        <v>327</v>
      </c>
      <c r="E140" s="482">
        <f>E101*F60</f>
        <v>8813566.4098141622</v>
      </c>
      <c r="F140" s="824"/>
    </row>
    <row r="142" spans="1:6" ht="20.149999999999999" customHeight="1" x14ac:dyDescent="0.3">
      <c r="A142" s="491" t="s">
        <v>719</v>
      </c>
    </row>
    <row r="143" spans="1:6" ht="31" customHeight="1" x14ac:dyDescent="0.3">
      <c r="B143" s="521" t="s">
        <v>322</v>
      </c>
      <c r="C143" s="521" t="s">
        <v>27</v>
      </c>
      <c r="D143" s="829" t="s">
        <v>332</v>
      </c>
      <c r="E143" s="829"/>
    </row>
    <row r="144" spans="1:6" ht="20.149999999999999" customHeight="1" x14ac:dyDescent="0.3">
      <c r="B144" s="567" t="s">
        <v>97</v>
      </c>
      <c r="C144" s="362" t="s">
        <v>19</v>
      </c>
      <c r="D144" s="482">
        <f>A21*B203*1000*F105</f>
        <v>849293264.72369421</v>
      </c>
      <c r="E144" s="480">
        <f>D144</f>
        <v>849293264.72369421</v>
      </c>
    </row>
    <row r="145" spans="1:5" ht="20.149999999999999" customHeight="1" x14ac:dyDescent="0.3">
      <c r="B145" s="567" t="s">
        <v>328</v>
      </c>
      <c r="C145" s="362" t="s">
        <v>19</v>
      </c>
      <c r="D145" s="482">
        <f>A21*B203*1000*F109</f>
        <v>312739995.09602624</v>
      </c>
      <c r="E145" s="480">
        <f>D145</f>
        <v>312739995.09602624</v>
      </c>
    </row>
    <row r="146" spans="1:5" ht="20.149999999999999" customHeight="1" x14ac:dyDescent="0.3">
      <c r="B146" s="830" t="s">
        <v>329</v>
      </c>
      <c r="C146" s="362" t="s">
        <v>19</v>
      </c>
      <c r="D146" s="482">
        <f>A21*B203*1000*F113</f>
        <v>9728557748.242054</v>
      </c>
      <c r="E146" s="833">
        <f>D146+D147+D148+D149</f>
        <v>14770793899.008944</v>
      </c>
    </row>
    <row r="147" spans="1:5" ht="20.149999999999999" customHeight="1" x14ac:dyDescent="0.3">
      <c r="B147" s="831"/>
      <c r="C147" s="362" t="s">
        <v>20</v>
      </c>
      <c r="D147" s="559">
        <f>A18*B204*1000*F117</f>
        <v>1122056487.0024872</v>
      </c>
      <c r="E147" s="834"/>
    </row>
    <row r="148" spans="1:5" ht="20.149999999999999" customHeight="1" x14ac:dyDescent="0.3">
      <c r="B148" s="831"/>
      <c r="C148" s="362" t="s">
        <v>21</v>
      </c>
      <c r="D148" s="482">
        <f>SUM(E121:E124)</f>
        <v>3007087519.7622199</v>
      </c>
      <c r="E148" s="834"/>
    </row>
    <row r="149" spans="1:5" ht="20.149999999999999" customHeight="1" x14ac:dyDescent="0.3">
      <c r="B149" s="832"/>
      <c r="C149" s="362" t="s">
        <v>195</v>
      </c>
      <c r="D149" s="482">
        <f>C31*B206*1000</f>
        <v>913092144.00218177</v>
      </c>
      <c r="E149" s="835"/>
    </row>
    <row r="150" spans="1:5" ht="20.149999999999999" customHeight="1" x14ac:dyDescent="0.3">
      <c r="B150" s="830" t="s">
        <v>330</v>
      </c>
      <c r="C150" s="362" t="s">
        <v>19</v>
      </c>
      <c r="D150" s="482">
        <f>A21*B203*1000*F125</f>
        <v>1883978917.3913667</v>
      </c>
      <c r="E150" s="833">
        <f>D150+D151+D152</f>
        <v>2274895739.0425453</v>
      </c>
    </row>
    <row r="151" spans="1:5" ht="20.149999999999999" customHeight="1" x14ac:dyDescent="0.3">
      <c r="B151" s="831"/>
      <c r="C151" s="362" t="s">
        <v>20</v>
      </c>
      <c r="D151" s="482">
        <f>A18*B204*1000*F129</f>
        <v>174523614.9975127</v>
      </c>
      <c r="E151" s="834"/>
    </row>
    <row r="152" spans="1:5" ht="20.149999999999999" customHeight="1" x14ac:dyDescent="0.3">
      <c r="B152" s="832"/>
      <c r="C152" s="362" t="s">
        <v>21</v>
      </c>
      <c r="D152" s="482">
        <f>SUM(E133:E136)</f>
        <v>216393206.65366578</v>
      </c>
      <c r="E152" s="835"/>
    </row>
    <row r="153" spans="1:5" ht="27" customHeight="1" x14ac:dyDescent="0.3">
      <c r="B153" s="567" t="s">
        <v>331</v>
      </c>
      <c r="C153" s="362" t="s">
        <v>19</v>
      </c>
      <c r="D153" s="482">
        <f>A21*B203*1000*F137</f>
        <v>3312560076.4891076</v>
      </c>
      <c r="E153" s="480">
        <f>D153</f>
        <v>3312560076.4891076</v>
      </c>
    </row>
    <row r="155" spans="1:5" ht="20.149999999999999" customHeight="1" x14ac:dyDescent="0.3">
      <c r="A155" s="491" t="s">
        <v>377</v>
      </c>
    </row>
    <row r="156" spans="1:5" ht="56.15" customHeight="1" x14ac:dyDescent="0.3">
      <c r="B156" s="521" t="s">
        <v>27</v>
      </c>
      <c r="C156" s="520" t="s">
        <v>332</v>
      </c>
    </row>
    <row r="157" spans="1:5" ht="20.149999999999999" customHeight="1" x14ac:dyDescent="0.3">
      <c r="B157" s="362" t="s">
        <v>19</v>
      </c>
      <c r="C157" s="482">
        <f>D144+D145+D146+D150+D153</f>
        <v>16087130001.942249</v>
      </c>
    </row>
    <row r="158" spans="1:5" ht="20.149999999999999" customHeight="1" x14ac:dyDescent="0.3">
      <c r="B158" s="362" t="s">
        <v>20</v>
      </c>
      <c r="C158" s="482">
        <f>D147+D151</f>
        <v>1296580102</v>
      </c>
    </row>
    <row r="159" spans="1:5" ht="20.149999999999999" customHeight="1" x14ac:dyDescent="0.3">
      <c r="B159" s="362" t="s">
        <v>21</v>
      </c>
      <c r="C159" s="482">
        <f>D148+D152</f>
        <v>3223480726.4158859</v>
      </c>
    </row>
    <row r="160" spans="1:5" ht="20.149999999999999" customHeight="1" x14ac:dyDescent="0.3">
      <c r="B160" s="362" t="s">
        <v>195</v>
      </c>
      <c r="C160" s="482">
        <f>D149</f>
        <v>913092144.00218177</v>
      </c>
    </row>
    <row r="162" spans="1:5" ht="20.149999999999999" customHeight="1" x14ac:dyDescent="0.3">
      <c r="A162" s="491" t="s">
        <v>720</v>
      </c>
    </row>
    <row r="163" spans="1:5" ht="20.149999999999999" customHeight="1" x14ac:dyDescent="0.3">
      <c r="B163" s="836" t="s">
        <v>322</v>
      </c>
      <c r="C163" s="836" t="s">
        <v>27</v>
      </c>
      <c r="D163" s="829" t="s">
        <v>690</v>
      </c>
      <c r="E163" s="837"/>
    </row>
    <row r="164" spans="1:5" ht="20.149999999999999" customHeight="1" x14ac:dyDescent="0.3">
      <c r="B164" s="836"/>
      <c r="C164" s="836"/>
      <c r="D164" s="522" t="s">
        <v>339</v>
      </c>
      <c r="E164" s="522" t="s">
        <v>24</v>
      </c>
    </row>
    <row r="165" spans="1:5" ht="20.149999999999999" customHeight="1" x14ac:dyDescent="0.3">
      <c r="B165" s="567" t="s">
        <v>97</v>
      </c>
      <c r="C165" s="362" t="s">
        <v>19</v>
      </c>
      <c r="D165" s="482">
        <f>D144/1000/B203</f>
        <v>235914795.75658172</v>
      </c>
      <c r="E165" s="494" t="s">
        <v>14</v>
      </c>
    </row>
    <row r="166" spans="1:5" ht="20.149999999999999" customHeight="1" x14ac:dyDescent="0.3">
      <c r="B166" s="567" t="s">
        <v>328</v>
      </c>
      <c r="C166" s="362" t="s">
        <v>19</v>
      </c>
      <c r="D166" s="482">
        <f>D145/1000/B203</f>
        <v>86872220.860007286</v>
      </c>
      <c r="E166" s="494" t="s">
        <v>14</v>
      </c>
    </row>
    <row r="167" spans="1:5" ht="20.149999999999999" customHeight="1" x14ac:dyDescent="0.3">
      <c r="B167" s="816" t="s">
        <v>329</v>
      </c>
      <c r="C167" s="362" t="s">
        <v>19</v>
      </c>
      <c r="D167" s="482">
        <f>D146/1000/B203</f>
        <v>2702377152.2894597</v>
      </c>
      <c r="E167" s="494" t="s">
        <v>14</v>
      </c>
    </row>
    <row r="168" spans="1:5" ht="20.149999999999999" customHeight="1" x14ac:dyDescent="0.3">
      <c r="B168" s="838"/>
      <c r="C168" s="362" t="s">
        <v>20</v>
      </c>
      <c r="D168" s="559">
        <f>D147/1000/B204</f>
        <v>29527802.28953914</v>
      </c>
      <c r="E168" s="494" t="s">
        <v>581</v>
      </c>
    </row>
    <row r="169" spans="1:5" ht="20.149999999999999" customHeight="1" x14ac:dyDescent="0.3">
      <c r="B169" s="838"/>
      <c r="C169" s="362" t="s">
        <v>21</v>
      </c>
      <c r="D169" s="482">
        <f>D148/1000/B205</f>
        <v>77742696.994886756</v>
      </c>
      <c r="E169" s="494" t="s">
        <v>337</v>
      </c>
    </row>
    <row r="170" spans="1:5" ht="20.149999999999999" customHeight="1" x14ac:dyDescent="0.3">
      <c r="B170" s="838"/>
      <c r="C170" s="362" t="s">
        <v>195</v>
      </c>
      <c r="D170" s="559">
        <f>D149/1000/B206</f>
        <v>57790642.025454536</v>
      </c>
      <c r="E170" s="494" t="s">
        <v>427</v>
      </c>
    </row>
    <row r="171" spans="1:5" ht="20.149999999999999" customHeight="1" x14ac:dyDescent="0.3">
      <c r="B171" s="816" t="s">
        <v>330</v>
      </c>
      <c r="C171" s="362" t="s">
        <v>19</v>
      </c>
      <c r="D171" s="482">
        <f>D150/1000/B203</f>
        <v>523327477.05315745</v>
      </c>
      <c r="E171" s="494" t="s">
        <v>14</v>
      </c>
    </row>
    <row r="172" spans="1:5" ht="20.149999999999999" customHeight="1" x14ac:dyDescent="0.3">
      <c r="B172" s="838"/>
      <c r="C172" s="362" t="s">
        <v>20</v>
      </c>
      <c r="D172" s="482">
        <f>D151/1000/B204</f>
        <v>4592726.7104608603</v>
      </c>
      <c r="E172" s="494" t="s">
        <v>581</v>
      </c>
    </row>
    <row r="173" spans="1:5" ht="20.149999999999999" customHeight="1" x14ac:dyDescent="0.3">
      <c r="B173" s="838"/>
      <c r="C173" s="362" t="s">
        <v>21</v>
      </c>
      <c r="D173" s="482">
        <f>D152/1000/B205</f>
        <v>5594446.9145208318</v>
      </c>
      <c r="E173" s="494" t="s">
        <v>337</v>
      </c>
    </row>
    <row r="174" spans="1:5" ht="20.149999999999999" customHeight="1" x14ac:dyDescent="0.3">
      <c r="B174" s="567" t="s">
        <v>331</v>
      </c>
      <c r="C174" s="362" t="s">
        <v>19</v>
      </c>
      <c r="D174" s="482">
        <f>D153/1000/B203</f>
        <v>920155576.80252993</v>
      </c>
      <c r="E174" s="494" t="s">
        <v>14</v>
      </c>
    </row>
    <row r="176" spans="1:5" ht="20.149999999999999" customHeight="1" x14ac:dyDescent="0.3">
      <c r="A176" s="491" t="s">
        <v>372</v>
      </c>
    </row>
    <row r="177" spans="1:8" ht="20.149999999999999" customHeight="1" x14ac:dyDescent="0.3">
      <c r="B177" s="841" t="s">
        <v>322</v>
      </c>
      <c r="C177" s="841" t="s">
        <v>27</v>
      </c>
      <c r="D177" s="847" t="s">
        <v>721</v>
      </c>
      <c r="E177" s="848"/>
      <c r="F177" s="848"/>
      <c r="G177" s="848"/>
      <c r="H177" s="849"/>
    </row>
    <row r="178" spans="1:8" ht="27" customHeight="1" x14ac:dyDescent="0.3">
      <c r="B178" s="841"/>
      <c r="C178" s="841"/>
      <c r="D178" s="522" t="s">
        <v>692</v>
      </c>
      <c r="E178" s="522" t="s">
        <v>693</v>
      </c>
      <c r="F178" s="522" t="s">
        <v>694</v>
      </c>
      <c r="G178" s="839" t="s">
        <v>722</v>
      </c>
      <c r="H178" s="840"/>
    </row>
    <row r="179" spans="1:8" ht="20.149999999999999" customHeight="1" x14ac:dyDescent="0.3">
      <c r="B179" s="567" t="s">
        <v>97</v>
      </c>
      <c r="C179" s="362" t="s">
        <v>19</v>
      </c>
      <c r="D179" s="482">
        <f>D165*D203</f>
        <v>401.05515278618896</v>
      </c>
      <c r="E179" s="513">
        <f>D165*E203</f>
        <v>0</v>
      </c>
      <c r="F179" s="513">
        <f>D165*F203</f>
        <v>0</v>
      </c>
      <c r="G179" s="482">
        <f>D165*G203</f>
        <v>401.05515278618896</v>
      </c>
      <c r="H179" s="482">
        <f>G179</f>
        <v>401.05515278618896</v>
      </c>
    </row>
    <row r="180" spans="1:8" ht="20.149999999999999" customHeight="1" x14ac:dyDescent="0.3">
      <c r="B180" s="567" t="s">
        <v>328</v>
      </c>
      <c r="C180" s="362" t="s">
        <v>19</v>
      </c>
      <c r="D180" s="482">
        <f>$D$166*D203</f>
        <v>147.68277546201239</v>
      </c>
      <c r="E180" s="482">
        <f t="shared" ref="E180:G180" si="1">$D$166*E203</f>
        <v>0</v>
      </c>
      <c r="F180" s="482">
        <f t="shared" si="1"/>
        <v>0</v>
      </c>
      <c r="G180" s="482">
        <f t="shared" si="1"/>
        <v>147.68277546201239</v>
      </c>
      <c r="H180" s="482">
        <f>G180</f>
        <v>147.68277546201239</v>
      </c>
    </row>
    <row r="181" spans="1:8" ht="20.149999999999999" customHeight="1" x14ac:dyDescent="0.3">
      <c r="B181" s="816" t="s">
        <v>329</v>
      </c>
      <c r="C181" s="362" t="s">
        <v>19</v>
      </c>
      <c r="D181" s="482">
        <f>D167*D203</f>
        <v>4594.0411588920815</v>
      </c>
      <c r="E181" s="513">
        <f>D167*E203</f>
        <v>0</v>
      </c>
      <c r="F181" s="513">
        <f>D167*F203</f>
        <v>0</v>
      </c>
      <c r="G181" s="482">
        <f>D167*G203</f>
        <v>4594.0411588920815</v>
      </c>
      <c r="H181" s="852">
        <f>G181+G182+G183+G184</f>
        <v>282411.16808577219</v>
      </c>
    </row>
    <row r="182" spans="1:8" ht="20.149999999999999" customHeight="1" x14ac:dyDescent="0.3">
      <c r="B182" s="838"/>
      <c r="C182" s="362" t="s">
        <v>20</v>
      </c>
      <c r="D182" s="482">
        <f>D168*D204</f>
        <v>55718.962920360354</v>
      </c>
      <c r="E182" s="513">
        <f>D168*E204</f>
        <v>1.0925286847129483</v>
      </c>
      <c r="F182" s="513">
        <f>D168*F204</f>
        <v>1.0334730801338701</v>
      </c>
      <c r="G182" s="482">
        <f>D168*G204</f>
        <v>56054.251115358071</v>
      </c>
      <c r="H182" s="853"/>
    </row>
    <row r="183" spans="1:8" ht="20.149999999999999" customHeight="1" x14ac:dyDescent="0.3">
      <c r="B183" s="838"/>
      <c r="C183" s="362" t="s">
        <v>21</v>
      </c>
      <c r="D183" s="559">
        <f>D169*D205</f>
        <v>214025.64482692324</v>
      </c>
      <c r="E183" s="560">
        <f>D169*E205</f>
        <v>2.0213101218670553</v>
      </c>
      <c r="F183" s="560">
        <f>D169*F205</f>
        <v>2.4100236068414893</v>
      </c>
      <c r="G183" s="559">
        <f>D169*G205</f>
        <v>214794.36461480867</v>
      </c>
      <c r="H183" s="853"/>
    </row>
    <row r="184" spans="1:8" ht="20.149999999999999" customHeight="1" x14ac:dyDescent="0.3">
      <c r="B184" s="838"/>
      <c r="C184" s="362" t="s">
        <v>195</v>
      </c>
      <c r="D184" s="559">
        <f>D170*D206</f>
        <v>0</v>
      </c>
      <c r="E184" s="559">
        <f>D170*E206</f>
        <v>238.09744514487272</v>
      </c>
      <c r="F184" s="560">
        <f>D170*F206</f>
        <v>3.4096478795018177</v>
      </c>
      <c r="G184" s="559">
        <f>D170*G206</f>
        <v>6968.5111967133589</v>
      </c>
      <c r="H184" s="854"/>
    </row>
    <row r="185" spans="1:8" ht="20.149999999999999" customHeight="1" x14ac:dyDescent="0.3">
      <c r="B185" s="816" t="s">
        <v>330</v>
      </c>
      <c r="C185" s="362" t="s">
        <v>19</v>
      </c>
      <c r="D185" s="482">
        <f>$D$171*D203</f>
        <v>889.65671099036763</v>
      </c>
      <c r="E185" s="513">
        <f t="shared" ref="E185:G185" si="2">$D$171*E203</f>
        <v>0</v>
      </c>
      <c r="F185" s="513">
        <f t="shared" si="2"/>
        <v>0</v>
      </c>
      <c r="G185" s="482">
        <f t="shared" si="2"/>
        <v>889.65671099036763</v>
      </c>
      <c r="H185" s="852">
        <f>G185+G186+G187</f>
        <v>25065.112672193925</v>
      </c>
    </row>
    <row r="186" spans="1:8" ht="20.149999999999999" customHeight="1" x14ac:dyDescent="0.3">
      <c r="B186" s="838"/>
      <c r="C186" s="362" t="s">
        <v>20</v>
      </c>
      <c r="D186" s="482">
        <f>$D$172*D204</f>
        <v>8666.4753026396429</v>
      </c>
      <c r="E186" s="513">
        <f t="shared" ref="E186:G186" si="3">$D$172*E204</f>
        <v>0.16993088828705183</v>
      </c>
      <c r="F186" s="513">
        <f t="shared" si="3"/>
        <v>0.16074543486613013</v>
      </c>
      <c r="G186" s="482">
        <f t="shared" si="3"/>
        <v>8718.6257144369265</v>
      </c>
      <c r="H186" s="853"/>
    </row>
    <row r="187" spans="1:8" ht="20.149999999999999" customHeight="1" x14ac:dyDescent="0.3">
      <c r="B187" s="838"/>
      <c r="C187" s="362" t="s">
        <v>21</v>
      </c>
      <c r="D187" s="482">
        <f>$D$173*D205</f>
        <v>15401.512355675848</v>
      </c>
      <c r="E187" s="543">
        <f t="shared" ref="E187:G187" si="4">$D$173*E205</f>
        <v>0.14545561977754162</v>
      </c>
      <c r="F187" s="543">
        <f t="shared" si="4"/>
        <v>0.17342785435014579</v>
      </c>
      <c r="G187" s="482">
        <f t="shared" si="4"/>
        <v>15456.830246766631</v>
      </c>
      <c r="H187" s="854"/>
    </row>
    <row r="188" spans="1:8" ht="27" customHeight="1" x14ac:dyDescent="0.3">
      <c r="B188" s="567" t="s">
        <v>331</v>
      </c>
      <c r="C188" s="362" t="s">
        <v>19</v>
      </c>
      <c r="D188" s="482">
        <f>$D$174*D203</f>
        <v>1564.2644805643008</v>
      </c>
      <c r="E188" s="482">
        <f>$D$174*E203</f>
        <v>0</v>
      </c>
      <c r="F188" s="482">
        <f>$D$174*F203</f>
        <v>0</v>
      </c>
      <c r="G188" s="482">
        <f>$D$174*G203</f>
        <v>1564.2644805643008</v>
      </c>
      <c r="H188" s="482">
        <f>G188</f>
        <v>1564.2644805643008</v>
      </c>
    </row>
    <row r="189" spans="1:8" ht="20.149999999999999" customHeight="1" x14ac:dyDescent="0.3">
      <c r="B189" s="839" t="s">
        <v>16</v>
      </c>
      <c r="C189" s="840"/>
      <c r="D189" s="563">
        <f>SUM(D179:D188)</f>
        <v>301409.29568429402</v>
      </c>
      <c r="E189" s="563">
        <f>SUM(E179:E188)</f>
        <v>241.52667045951731</v>
      </c>
      <c r="F189" s="563">
        <f>SUM(F179:F188)</f>
        <v>7.1873178556934523</v>
      </c>
      <c r="G189" s="850">
        <f>SUM(G179:G188)</f>
        <v>309589.28316677856</v>
      </c>
      <c r="H189" s="851"/>
    </row>
    <row r="191" spans="1:8" ht="20.149999999999999" customHeight="1" x14ac:dyDescent="0.3">
      <c r="A191" s="491" t="s">
        <v>383</v>
      </c>
    </row>
    <row r="192" spans="1:8" ht="20.149999999999999" customHeight="1" x14ac:dyDescent="0.3">
      <c r="B192" s="836" t="s">
        <v>27</v>
      </c>
      <c r="C192" s="841" t="s">
        <v>721</v>
      </c>
      <c r="D192" s="841"/>
      <c r="E192" s="841"/>
      <c r="F192" s="841"/>
    </row>
    <row r="193" spans="1:35" ht="26.15" customHeight="1" x14ac:dyDescent="0.3">
      <c r="B193" s="836"/>
      <c r="C193" s="522" t="s">
        <v>692</v>
      </c>
      <c r="D193" s="522" t="s">
        <v>693</v>
      </c>
      <c r="E193" s="522" t="s">
        <v>694</v>
      </c>
      <c r="F193" s="566" t="s">
        <v>724</v>
      </c>
    </row>
    <row r="194" spans="1:35" ht="20.149999999999999" customHeight="1" x14ac:dyDescent="0.3">
      <c r="B194" s="516" t="s">
        <v>19</v>
      </c>
      <c r="C194" s="561">
        <f>D179+D180+D181+D185+D188</f>
        <v>7596.7002786949524</v>
      </c>
      <c r="D194" s="562">
        <f>E179+E180+E181+E185+E188</f>
        <v>0</v>
      </c>
      <c r="E194" s="561">
        <f>F179+F180+F181+F185+F188</f>
        <v>0</v>
      </c>
      <c r="F194" s="561">
        <f>G179+G180+G181+G185+G188</f>
        <v>7596.7002786949524</v>
      </c>
    </row>
    <row r="195" spans="1:35" ht="20.149999999999999" customHeight="1" x14ac:dyDescent="0.3">
      <c r="B195" s="516" t="s">
        <v>20</v>
      </c>
      <c r="C195" s="561">
        <f t="shared" ref="C195:F196" si="5">D182+D186</f>
        <v>64385.438222999997</v>
      </c>
      <c r="D195" s="561">
        <f t="shared" si="5"/>
        <v>1.2624595730000001</v>
      </c>
      <c r="E195" s="561">
        <f t="shared" si="5"/>
        <v>1.1942185150000002</v>
      </c>
      <c r="F195" s="561">
        <f t="shared" si="5"/>
        <v>64772.876829795001</v>
      </c>
    </row>
    <row r="196" spans="1:35" ht="20.149999999999999" customHeight="1" x14ac:dyDescent="0.3">
      <c r="B196" s="516" t="s">
        <v>21</v>
      </c>
      <c r="C196" s="561">
        <f t="shared" si="5"/>
        <v>229427.15718259907</v>
      </c>
      <c r="D196" s="561">
        <f t="shared" si="5"/>
        <v>2.1667657416445971</v>
      </c>
      <c r="E196" s="561">
        <f t="shared" si="5"/>
        <v>2.5834514611916353</v>
      </c>
      <c r="F196" s="561">
        <f t="shared" si="5"/>
        <v>230251.19486157529</v>
      </c>
    </row>
    <row r="197" spans="1:35" ht="20.149999999999999" customHeight="1" x14ac:dyDescent="0.3">
      <c r="B197" s="516" t="s">
        <v>195</v>
      </c>
      <c r="C197" s="561">
        <f>D184</f>
        <v>0</v>
      </c>
      <c r="D197" s="561">
        <f>E184</f>
        <v>238.09744514487272</v>
      </c>
      <c r="E197" s="561">
        <f>F184</f>
        <v>3.4096478795018177</v>
      </c>
      <c r="F197" s="561">
        <f>G184</f>
        <v>6968.5111967133589</v>
      </c>
    </row>
    <row r="198" spans="1:35" ht="20.149999999999999" customHeight="1" x14ac:dyDescent="0.3">
      <c r="B198" s="525" t="s">
        <v>16</v>
      </c>
      <c r="C198" s="563">
        <f>SUM(C194:C196)</f>
        <v>301409.29568429402</v>
      </c>
      <c r="D198" s="563">
        <f t="shared" ref="D198:E198" si="6">SUM(D194:D196)</f>
        <v>3.4292253146445972</v>
      </c>
      <c r="E198" s="563">
        <f t="shared" si="6"/>
        <v>3.7776699761916355</v>
      </c>
      <c r="F198" s="564">
        <f>SUM(F194:F197)</f>
        <v>309589.28316677862</v>
      </c>
    </row>
    <row r="200" spans="1:35" ht="20.149999999999999" customHeight="1" x14ac:dyDescent="0.3">
      <c r="A200" s="570" t="s">
        <v>333</v>
      </c>
      <c r="K200" s="349"/>
      <c r="L200" s="349"/>
      <c r="M200" s="349"/>
      <c r="N200" s="349"/>
      <c r="O200" s="349"/>
      <c r="P200" s="349"/>
      <c r="Q200" s="349"/>
      <c r="R200" s="349"/>
      <c r="S200" s="349"/>
      <c r="T200" s="349"/>
      <c r="U200" s="349"/>
      <c r="V200" s="349"/>
      <c r="W200" s="349"/>
      <c r="X200" s="349"/>
      <c r="Y200" s="349"/>
      <c r="Z200" s="349"/>
      <c r="AA200" s="349"/>
      <c r="AB200" s="349"/>
      <c r="AC200" s="349"/>
      <c r="AD200" s="349"/>
      <c r="AE200" s="349"/>
      <c r="AF200" s="349"/>
      <c r="AG200" s="349"/>
      <c r="AH200" s="349"/>
      <c r="AI200" s="349"/>
    </row>
    <row r="201" spans="1:35" ht="20.149999999999999" customHeight="1" x14ac:dyDescent="0.3">
      <c r="A201" s="812" t="s">
        <v>30</v>
      </c>
      <c r="B201" s="812" t="s">
        <v>712</v>
      </c>
      <c r="C201" s="813"/>
      <c r="D201" s="842" t="s">
        <v>713</v>
      </c>
      <c r="E201" s="843"/>
      <c r="F201" s="843"/>
      <c r="G201" s="844"/>
      <c r="K201" s="349"/>
      <c r="L201" s="349"/>
      <c r="M201" s="349"/>
      <c r="N201" s="349"/>
      <c r="O201" s="349"/>
      <c r="P201" s="349"/>
      <c r="Q201" s="349"/>
      <c r="R201" s="349"/>
      <c r="S201" s="349"/>
      <c r="T201" s="349"/>
      <c r="U201" s="349"/>
      <c r="V201" s="349"/>
      <c r="W201" s="349"/>
      <c r="X201" s="349"/>
      <c r="Y201" s="349"/>
      <c r="Z201" s="349"/>
      <c r="AA201" s="349"/>
      <c r="AB201" s="349"/>
      <c r="AC201" s="349"/>
      <c r="AD201" s="349"/>
      <c r="AE201" s="349"/>
      <c r="AF201" s="349"/>
      <c r="AG201" s="349"/>
      <c r="AH201" s="349"/>
      <c r="AI201" s="349"/>
    </row>
    <row r="202" spans="1:35" ht="20.149999999999999" customHeight="1" x14ac:dyDescent="0.3">
      <c r="A202" s="812"/>
      <c r="B202" s="516" t="s">
        <v>334</v>
      </c>
      <c r="C202" s="516" t="s">
        <v>24</v>
      </c>
      <c r="D202" s="515" t="s">
        <v>667</v>
      </c>
      <c r="E202" s="515" t="s">
        <v>668</v>
      </c>
      <c r="F202" s="515" t="s">
        <v>669</v>
      </c>
      <c r="G202" s="572" t="s">
        <v>594</v>
      </c>
      <c r="K202" s="349"/>
      <c r="L202" s="349"/>
      <c r="M202" s="349"/>
      <c r="N202" s="349"/>
      <c r="O202" s="349"/>
      <c r="P202" s="349"/>
      <c r="Q202" s="349"/>
      <c r="R202" s="349"/>
      <c r="S202" s="349"/>
      <c r="T202" s="349"/>
      <c r="U202" s="349"/>
      <c r="V202" s="349"/>
      <c r="W202" s="349"/>
      <c r="X202" s="349"/>
      <c r="Y202" s="349"/>
      <c r="Z202" s="349"/>
      <c r="AA202" s="349"/>
      <c r="AB202" s="349"/>
      <c r="AC202" s="349"/>
      <c r="AD202" s="349"/>
      <c r="AE202" s="349"/>
      <c r="AF202" s="349"/>
      <c r="AG202" s="349"/>
      <c r="AH202" s="349"/>
      <c r="AI202" s="349"/>
    </row>
    <row r="203" spans="1:35" ht="20.149999999999999" customHeight="1" x14ac:dyDescent="0.3">
      <c r="A203" s="517" t="s">
        <v>19</v>
      </c>
      <c r="B203" s="517">
        <v>3.5999999999999999E-3</v>
      </c>
      <c r="C203" s="517" t="s">
        <v>336</v>
      </c>
      <c r="D203" s="517">
        <f>electco2</f>
        <v>1.7E-6</v>
      </c>
      <c r="E203" s="517">
        <f>electch4</f>
        <v>0</v>
      </c>
      <c r="F203" s="517">
        <f>electn2o</f>
        <v>0</v>
      </c>
      <c r="G203" s="541">
        <f>D203+E203*PRP!K5+F203*PRP!K6</f>
        <v>1.7E-6</v>
      </c>
      <c r="K203" s="349"/>
      <c r="L203" s="349"/>
      <c r="M203" s="349"/>
      <c r="N203" s="349"/>
      <c r="O203" s="349"/>
      <c r="P203" s="349"/>
      <c r="Q203" s="349"/>
      <c r="R203" s="349"/>
      <c r="S203" s="349"/>
      <c r="T203" s="349"/>
      <c r="U203" s="349"/>
      <c r="V203" s="349"/>
      <c r="W203" s="349"/>
      <c r="X203" s="349"/>
      <c r="Y203" s="349"/>
      <c r="Z203" s="349"/>
      <c r="AA203" s="349"/>
      <c r="AB203" s="349"/>
      <c r="AC203" s="349"/>
      <c r="AD203" s="349"/>
      <c r="AE203" s="349"/>
      <c r="AF203" s="349"/>
      <c r="AG203" s="349"/>
      <c r="AH203" s="349"/>
      <c r="AI203" s="349"/>
    </row>
    <row r="204" spans="1:35" ht="20.149999999999999" customHeight="1" x14ac:dyDescent="0.3">
      <c r="A204" s="517" t="s">
        <v>20</v>
      </c>
      <c r="B204" s="517">
        <v>3.7999999999999999E-2</v>
      </c>
      <c r="C204" s="517" t="s">
        <v>335</v>
      </c>
      <c r="D204" s="541">
        <f>natgasco2</f>
        <v>1.887E-3</v>
      </c>
      <c r="E204" s="541">
        <f>natgasn2o</f>
        <v>3.7E-8</v>
      </c>
      <c r="F204" s="541">
        <f>natgasch4</f>
        <v>3.5000000000000002E-8</v>
      </c>
      <c r="G204" s="541">
        <f>D204+E204*PRP!K5+F204*PRP!K6</f>
        <v>1.898355E-3</v>
      </c>
      <c r="K204" s="349"/>
      <c r="L204" s="349"/>
      <c r="M204" s="349"/>
      <c r="N204" s="349"/>
      <c r="O204" s="349"/>
      <c r="P204" s="349"/>
      <c r="Q204" s="349"/>
      <c r="R204" s="349"/>
      <c r="S204" s="349"/>
      <c r="T204" s="349"/>
      <c r="U204" s="349"/>
      <c r="V204" s="349"/>
      <c r="W204" s="349"/>
      <c r="X204" s="349"/>
      <c r="Y204" s="349"/>
      <c r="Z204" s="349"/>
      <c r="AA204" s="349"/>
      <c r="AB204" s="349"/>
      <c r="AC204" s="349"/>
      <c r="AD204" s="349"/>
      <c r="AE204" s="349"/>
      <c r="AF204" s="349"/>
      <c r="AG204" s="349"/>
      <c r="AH204" s="349"/>
      <c r="AI204" s="349"/>
    </row>
    <row r="205" spans="1:35" ht="20.149999999999999" customHeight="1" x14ac:dyDescent="0.3">
      <c r="A205" s="568" t="s">
        <v>346</v>
      </c>
      <c r="B205" s="517">
        <v>3.8679999999999999E-2</v>
      </c>
      <c r="C205" s="517" t="s">
        <v>715</v>
      </c>
      <c r="D205" s="517">
        <f>oilco2</f>
        <v>2.7529999999999998E-3</v>
      </c>
      <c r="E205" s="517">
        <f>oilch4</f>
        <v>2.5999999999999998E-8</v>
      </c>
      <c r="F205" s="517">
        <f>oiln2o</f>
        <v>3.1E-8</v>
      </c>
      <c r="G205" s="541">
        <f>D205+E205*PRP!K5+F205*PRP!K6</f>
        <v>2.7628879999999998E-3</v>
      </c>
      <c r="K205" s="349"/>
      <c r="L205" s="349"/>
      <c r="M205" s="349"/>
      <c r="N205" s="349"/>
      <c r="O205" s="349"/>
      <c r="P205" s="349"/>
      <c r="Q205" s="349"/>
      <c r="R205" s="349"/>
      <c r="S205" s="349"/>
      <c r="T205" s="349"/>
      <c r="U205" s="349"/>
      <c r="V205" s="349"/>
      <c r="W205" s="349"/>
      <c r="X205" s="349"/>
      <c r="Y205" s="349"/>
      <c r="Z205" s="349"/>
      <c r="AA205" s="349"/>
      <c r="AB205" s="349"/>
      <c r="AC205" s="349"/>
      <c r="AD205" s="349"/>
      <c r="AE205" s="349"/>
      <c r="AF205" s="349"/>
      <c r="AG205" s="349"/>
      <c r="AH205" s="349"/>
      <c r="AI205" s="349"/>
    </row>
    <row r="206" spans="1:35" ht="20.149999999999999" customHeight="1" x14ac:dyDescent="0.3">
      <c r="A206" s="517" t="s">
        <v>195</v>
      </c>
      <c r="B206" s="517">
        <f>15.8/1000</f>
        <v>1.5800000000000002E-2</v>
      </c>
      <c r="C206" s="517" t="s">
        <v>426</v>
      </c>
      <c r="D206" s="517">
        <v>0</v>
      </c>
      <c r="E206" s="542">
        <f>'Coefficients d''émissions'!D6</f>
        <v>4.1200000000000004E-6</v>
      </c>
      <c r="F206" s="542">
        <f>'Coefficients d''émissions'!E6</f>
        <v>5.8999999999999999E-8</v>
      </c>
      <c r="G206" s="541">
        <f>D206+E206*PRP!K5+F206*PRP!K6</f>
        <v>1.2058200000000001E-4</v>
      </c>
      <c r="K206" s="349"/>
      <c r="L206" s="349"/>
      <c r="M206" s="349"/>
      <c r="N206" s="349"/>
      <c r="O206" s="349"/>
      <c r="P206" s="349"/>
      <c r="Q206" s="349"/>
      <c r="R206" s="349"/>
      <c r="S206" s="349"/>
      <c r="T206" s="349"/>
      <c r="U206" s="349"/>
      <c r="V206" s="349"/>
      <c r="W206" s="349"/>
      <c r="X206" s="349"/>
      <c r="Y206" s="349"/>
      <c r="Z206" s="349"/>
      <c r="AA206" s="349"/>
      <c r="AB206" s="349"/>
      <c r="AC206" s="349"/>
      <c r="AD206" s="349"/>
      <c r="AE206" s="349"/>
      <c r="AF206" s="349"/>
      <c r="AG206" s="349"/>
      <c r="AH206" s="349"/>
      <c r="AI206" s="349"/>
    </row>
  </sheetData>
  <sheetProtection algorithmName="SHA-512" hashValue="zFoyHMDbyvjf1Q9YOQ7ZRVGXRP4alnc9YRROtHdw8gY18f8VMiO4I+mO72ZwKBqnCbPlDJIkH1liwWng8k1i6w==" saltValue="GMy1Gbuy+L0DrjaGz9+LMg==" spinCount="100000" sheet="1" objects="1" scenarios="1"/>
  <protectedRanges>
    <protectedRange algorithmName="SHA-512" hashValue="RdAk2ZZSacuqiM3Mbm1zR1xwa3gdKmpYd7B3Gi3SclEpqE8KorUfQY5QrTMup4bNV/keHW2aJLj7hj1vkkeMsA==" saltValue="50me7PSZr2Fxy3JG4SbHtg==" spinCount="100000" sqref="A1:XFD1048576" name="Plage1"/>
  </protectedRanges>
  <mergeCells count="85">
    <mergeCell ref="D201:G201"/>
    <mergeCell ref="B192:B193"/>
    <mergeCell ref="C192:F192"/>
    <mergeCell ref="E24:I24"/>
    <mergeCell ref="E25:I25"/>
    <mergeCell ref="E26:I26"/>
    <mergeCell ref="E27:I27"/>
    <mergeCell ref="E28:I28"/>
    <mergeCell ref="E29:I29"/>
    <mergeCell ref="E30:I30"/>
    <mergeCell ref="E31:I31"/>
    <mergeCell ref="D177:H177"/>
    <mergeCell ref="G189:H189"/>
    <mergeCell ref="H181:H184"/>
    <mergeCell ref="H185:H187"/>
    <mergeCell ref="B189:C189"/>
    <mergeCell ref="B185:B187"/>
    <mergeCell ref="G178:H178"/>
    <mergeCell ref="B177:B178"/>
    <mergeCell ref="C177:C178"/>
    <mergeCell ref="B181:B184"/>
    <mergeCell ref="B163:B164"/>
    <mergeCell ref="C163:C164"/>
    <mergeCell ref="D163:E163"/>
    <mergeCell ref="B167:B170"/>
    <mergeCell ref="B171:B173"/>
    <mergeCell ref="D143:E143"/>
    <mergeCell ref="B146:B149"/>
    <mergeCell ref="B150:B152"/>
    <mergeCell ref="E146:E149"/>
    <mergeCell ref="E150:E152"/>
    <mergeCell ref="F129:F132"/>
    <mergeCell ref="C133:C136"/>
    <mergeCell ref="F133:F136"/>
    <mergeCell ref="C137:C140"/>
    <mergeCell ref="F137:F140"/>
    <mergeCell ref="B125:B136"/>
    <mergeCell ref="C125:C128"/>
    <mergeCell ref="F125:F128"/>
    <mergeCell ref="C129:C132"/>
    <mergeCell ref="B105:B108"/>
    <mergeCell ref="C105:C108"/>
    <mergeCell ref="F105:F108"/>
    <mergeCell ref="C109:C112"/>
    <mergeCell ref="F109:F112"/>
    <mergeCell ref="B113:B124"/>
    <mergeCell ref="C113:C116"/>
    <mergeCell ref="F113:F116"/>
    <mergeCell ref="C117:C120"/>
    <mergeCell ref="F117:F120"/>
    <mergeCell ref="C121:C124"/>
    <mergeCell ref="F121:F124"/>
    <mergeCell ref="C86:C89"/>
    <mergeCell ref="C90:C93"/>
    <mergeCell ref="C94:C97"/>
    <mergeCell ref="B98:B101"/>
    <mergeCell ref="C98:C101"/>
    <mergeCell ref="B70:B73"/>
    <mergeCell ref="C70:C73"/>
    <mergeCell ref="B74:B85"/>
    <mergeCell ref="C74:C77"/>
    <mergeCell ref="C78:C81"/>
    <mergeCell ref="C82:C85"/>
    <mergeCell ref="F48:F49"/>
    <mergeCell ref="G48:I48"/>
    <mergeCell ref="A24:B24"/>
    <mergeCell ref="A27:B27"/>
    <mergeCell ref="A30:B30"/>
    <mergeCell ref="A29:B29"/>
    <mergeCell ref="A11:B11"/>
    <mergeCell ref="A201:A202"/>
    <mergeCell ref="B201:C201"/>
    <mergeCell ref="A25:B25"/>
    <mergeCell ref="A13:B13"/>
    <mergeCell ref="A12:B12"/>
    <mergeCell ref="A26:B26"/>
    <mergeCell ref="A28:B28"/>
    <mergeCell ref="B86:B97"/>
    <mergeCell ref="B137:B140"/>
    <mergeCell ref="A31:B31"/>
    <mergeCell ref="B109:B112"/>
    <mergeCell ref="B48:B49"/>
    <mergeCell ref="C48:E48"/>
    <mergeCell ref="B66:B69"/>
    <mergeCell ref="C66:C69"/>
  </mergeCells>
  <phoneticPr fontId="0" type="noConversion"/>
  <pageMargins left="0.78740157499999996" right="0.78740157499999996" top="0.984251969" bottom="0.984251969" header="0.5" footer="0.5"/>
  <pageSetup scale="41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FFFF00"/>
  </sheetPr>
  <dimension ref="A1:AJ447"/>
  <sheetViews>
    <sheetView topLeftCell="A286" zoomScale="90" zoomScaleNormal="90" workbookViewId="0">
      <selection activeCell="J216" sqref="A1:XFD1048576"/>
    </sheetView>
  </sheetViews>
  <sheetFormatPr baseColWidth="10" defaultColWidth="12" defaultRowHeight="15.5" x14ac:dyDescent="0.3"/>
  <cols>
    <col min="1" max="1" width="31.69921875" style="26" customWidth="1"/>
    <col min="2" max="2" width="21.796875" style="26" customWidth="1"/>
    <col min="3" max="3" width="22.19921875" style="26" customWidth="1"/>
    <col min="4" max="4" width="20.19921875" style="26" customWidth="1"/>
    <col min="5" max="5" width="20.296875" style="26" customWidth="1"/>
    <col min="6" max="6" width="19.296875" style="26" customWidth="1"/>
    <col min="7" max="7" width="20.296875" style="26" customWidth="1"/>
    <col min="8" max="8" width="20.296875" style="349" customWidth="1"/>
    <col min="9" max="9" width="16.69921875" style="349" customWidth="1"/>
    <col min="10" max="10" width="16.296875" style="349" customWidth="1"/>
    <col min="11" max="11" width="17.69921875" style="349" customWidth="1"/>
    <col min="12" max="12" width="16.296875" style="349" customWidth="1"/>
    <col min="13" max="14" width="17.19921875" style="349" customWidth="1"/>
    <col min="15" max="24" width="14" style="349" customWidth="1"/>
    <col min="25" max="16384" width="12" style="328"/>
  </cols>
  <sheetData>
    <row r="1" spans="1:24" s="137" customFormat="1" ht="24" customHeight="1" x14ac:dyDescent="0.3">
      <c r="A1" s="192" t="s">
        <v>503</v>
      </c>
      <c r="B1" s="138"/>
      <c r="C1" s="138"/>
      <c r="D1" s="138"/>
      <c r="E1" s="138"/>
      <c r="F1" s="138"/>
      <c r="G1" s="138"/>
    </row>
    <row r="2" spans="1:24" s="654" customFormat="1" ht="23.15" customHeight="1" x14ac:dyDescent="0.3">
      <c r="A2" s="193" t="s">
        <v>505</v>
      </c>
      <c r="B2" s="653"/>
      <c r="C2" s="653"/>
      <c r="D2" s="653"/>
      <c r="E2" s="653"/>
      <c r="F2" s="653"/>
      <c r="G2" s="653"/>
    </row>
    <row r="3" spans="1:24" s="393" customFormat="1" ht="13" x14ac:dyDescent="0.3">
      <c r="A3" s="141"/>
      <c r="B3" s="141"/>
      <c r="C3" s="141"/>
      <c r="D3" s="141"/>
      <c r="E3" s="141"/>
      <c r="F3" s="141"/>
      <c r="G3" s="141"/>
      <c r="H3" s="141"/>
      <c r="I3" s="141"/>
      <c r="J3" s="141"/>
      <c r="K3" s="141"/>
      <c r="L3" s="141"/>
      <c r="M3" s="141"/>
      <c r="N3" s="141"/>
      <c r="O3" s="141"/>
      <c r="P3" s="141"/>
      <c r="Q3" s="141"/>
      <c r="R3" s="141"/>
      <c r="S3" s="141"/>
      <c r="T3" s="141"/>
      <c r="U3" s="141"/>
      <c r="V3" s="141"/>
      <c r="W3" s="141"/>
      <c r="X3" s="141"/>
    </row>
    <row r="4" spans="1:24" s="26" customFormat="1" ht="18" x14ac:dyDescent="0.3">
      <c r="A4" s="540" t="s">
        <v>27</v>
      </c>
      <c r="B4" s="498" t="s">
        <v>24</v>
      </c>
      <c r="C4" s="529" t="s">
        <v>689</v>
      </c>
      <c r="D4" s="463" t="s">
        <v>667</v>
      </c>
      <c r="E4" s="463" t="s">
        <v>668</v>
      </c>
      <c r="F4" s="463" t="s">
        <v>669</v>
      </c>
      <c r="G4" s="464" t="s">
        <v>594</v>
      </c>
      <c r="H4" s="349"/>
      <c r="I4" s="349"/>
      <c r="J4" s="349"/>
      <c r="K4" s="349"/>
      <c r="L4" s="349"/>
      <c r="M4" s="349"/>
      <c r="N4" s="349"/>
      <c r="O4" s="349"/>
      <c r="P4" s="349"/>
      <c r="Q4" s="349"/>
      <c r="R4" s="349"/>
      <c r="S4" s="349"/>
      <c r="T4" s="349"/>
      <c r="U4" s="349"/>
      <c r="V4" s="349"/>
      <c r="W4" s="349"/>
      <c r="X4" s="349"/>
    </row>
    <row r="5" spans="1:24" s="26" customFormat="1" ht="20.149999999999999" customHeight="1" x14ac:dyDescent="0.3">
      <c r="A5" s="528" t="s">
        <v>19</v>
      </c>
      <c r="B5" s="530" t="s">
        <v>14</v>
      </c>
      <c r="C5" s="500">
        <f>C197</f>
        <v>3435741916.1638474</v>
      </c>
      <c r="D5" s="500">
        <f>B292</f>
        <v>5840.7612574785408</v>
      </c>
      <c r="E5" s="500">
        <f t="shared" ref="E5:F5" si="0">C292</f>
        <v>0</v>
      </c>
      <c r="F5" s="500">
        <f t="shared" si="0"/>
        <v>0</v>
      </c>
      <c r="G5" s="480">
        <f>E292</f>
        <v>5840.7612574785408</v>
      </c>
      <c r="H5" s="575"/>
      <c r="I5" s="349"/>
      <c r="J5" s="349"/>
      <c r="K5" s="349"/>
      <c r="L5" s="349"/>
      <c r="M5" s="349"/>
      <c r="N5" s="349"/>
      <c r="O5" s="349"/>
      <c r="P5" s="349"/>
      <c r="Q5" s="349"/>
      <c r="R5" s="349"/>
      <c r="S5" s="349"/>
      <c r="T5" s="349"/>
      <c r="U5" s="349"/>
      <c r="V5" s="349"/>
      <c r="W5" s="349"/>
      <c r="X5" s="349"/>
    </row>
    <row r="6" spans="1:24" s="26" customFormat="1" ht="20.149999999999999" customHeight="1" x14ac:dyDescent="0.3">
      <c r="A6" s="528" t="s">
        <v>20</v>
      </c>
      <c r="B6" s="530" t="s">
        <v>581</v>
      </c>
      <c r="C6" s="500">
        <f t="shared" ref="C6:C9" si="1">C198</f>
        <v>146947048</v>
      </c>
      <c r="D6" s="500">
        <f t="shared" ref="D6:D9" si="2">B293</f>
        <v>277289.07957599999</v>
      </c>
      <c r="E6" s="500">
        <f t="shared" ref="E6:E9" si="3">C293</f>
        <v>5.4370407759999999</v>
      </c>
      <c r="F6" s="500">
        <f t="shared" ref="F6:F9" si="4">D293</f>
        <v>5.1431466800000001</v>
      </c>
      <c r="G6" s="480">
        <f t="shared" ref="G6:G9" si="5">E293</f>
        <v>278957.66330603999</v>
      </c>
      <c r="H6" s="575"/>
      <c r="I6" s="349"/>
      <c r="J6" s="349"/>
      <c r="K6" s="349"/>
      <c r="L6" s="349"/>
      <c r="M6" s="349"/>
      <c r="N6" s="349"/>
      <c r="O6" s="349"/>
      <c r="P6" s="349"/>
      <c r="Q6" s="349"/>
      <c r="R6" s="349"/>
      <c r="S6" s="349"/>
      <c r="T6" s="349"/>
      <c r="U6" s="349"/>
      <c r="V6" s="349"/>
      <c r="W6" s="349"/>
      <c r="X6" s="349"/>
    </row>
    <row r="7" spans="1:24" s="26" customFormat="1" ht="20.149999999999999" customHeight="1" x14ac:dyDescent="0.3">
      <c r="A7" s="528" t="s">
        <v>346</v>
      </c>
      <c r="B7" s="530" t="s">
        <v>15</v>
      </c>
      <c r="C7" s="500">
        <f t="shared" si="1"/>
        <v>36332254.809411079</v>
      </c>
      <c r="D7" s="500">
        <f t="shared" si="2"/>
        <v>100022.6974903087</v>
      </c>
      <c r="E7" s="500">
        <f t="shared" si="3"/>
        <v>0.94463862504468799</v>
      </c>
      <c r="F7" s="500">
        <f t="shared" si="4"/>
        <v>1.1262998990917434</v>
      </c>
      <c r="G7" s="480">
        <f t="shared" si="5"/>
        <v>100381.95082586414</v>
      </c>
      <c r="H7" s="575"/>
      <c r="I7" s="349"/>
      <c r="J7" s="349"/>
      <c r="K7" s="349"/>
      <c r="L7" s="349"/>
      <c r="M7" s="349"/>
      <c r="N7" s="349"/>
      <c r="O7" s="349"/>
      <c r="P7" s="349"/>
      <c r="Q7" s="349"/>
      <c r="R7" s="349"/>
      <c r="S7" s="349"/>
      <c r="T7" s="349"/>
      <c r="U7" s="349"/>
      <c r="V7" s="349"/>
      <c r="W7" s="349"/>
      <c r="X7" s="349"/>
    </row>
    <row r="8" spans="1:24" s="26" customFormat="1" ht="20.149999999999999" customHeight="1" x14ac:dyDescent="0.3">
      <c r="A8" s="528" t="s">
        <v>31</v>
      </c>
      <c r="B8" s="530" t="s">
        <v>15</v>
      </c>
      <c r="C8" s="500">
        <f t="shared" si="1"/>
        <v>1691156.3819124021</v>
      </c>
      <c r="D8" s="500">
        <f t="shared" si="2"/>
        <v>5337.2895413155411</v>
      </c>
      <c r="E8" s="500">
        <f t="shared" si="3"/>
        <v>9.6395913769006927E-2</v>
      </c>
      <c r="F8" s="500">
        <f t="shared" si="4"/>
        <v>0.10823400844239374</v>
      </c>
      <c r="G8" s="480">
        <f t="shared" si="5"/>
        <v>5371.9531736755998</v>
      </c>
      <c r="H8" s="575"/>
      <c r="I8" s="349"/>
      <c r="J8" s="349"/>
      <c r="K8" s="349"/>
      <c r="L8" s="349"/>
      <c r="M8" s="349"/>
      <c r="N8" s="349"/>
      <c r="O8" s="349"/>
      <c r="P8" s="349"/>
      <c r="Q8" s="349"/>
      <c r="R8" s="349"/>
      <c r="S8" s="349"/>
      <c r="T8" s="349"/>
      <c r="U8" s="349"/>
      <c r="V8" s="349"/>
      <c r="W8" s="349"/>
      <c r="X8" s="349"/>
    </row>
    <row r="9" spans="1:24" s="26" customFormat="1" ht="20.149999999999999" customHeight="1" x14ac:dyDescent="0.3">
      <c r="A9" s="528" t="s">
        <v>13</v>
      </c>
      <c r="B9" s="530" t="s">
        <v>15</v>
      </c>
      <c r="C9" s="500">
        <f t="shared" si="1"/>
        <v>22380260.892700803</v>
      </c>
      <c r="D9" s="500">
        <f t="shared" si="2"/>
        <v>33906.095252441715</v>
      </c>
      <c r="E9" s="500">
        <f t="shared" si="3"/>
        <v>0.60426704410292165</v>
      </c>
      <c r="F9" s="500">
        <f t="shared" si="4"/>
        <v>2.4170681764116866</v>
      </c>
      <c r="G9" s="480">
        <f t="shared" si="5"/>
        <v>34641.488245114968</v>
      </c>
      <c r="H9" s="575"/>
      <c r="I9" s="349"/>
      <c r="J9" s="349"/>
      <c r="K9" s="349"/>
      <c r="L9" s="349"/>
      <c r="M9" s="349"/>
      <c r="N9" s="349"/>
      <c r="O9" s="349"/>
      <c r="P9" s="349"/>
      <c r="Q9" s="349"/>
      <c r="R9" s="349"/>
      <c r="S9" s="349"/>
      <c r="T9" s="349"/>
      <c r="U9" s="349"/>
      <c r="V9" s="349"/>
      <c r="W9" s="349"/>
      <c r="X9" s="349"/>
    </row>
    <row r="10" spans="1:24" s="26" customFormat="1" ht="20.149999999999999" customHeight="1" x14ac:dyDescent="0.3">
      <c r="A10" s="576" t="s">
        <v>16</v>
      </c>
      <c r="B10" s="571" t="s">
        <v>17</v>
      </c>
      <c r="C10" s="467" t="s">
        <v>17</v>
      </c>
      <c r="D10" s="467">
        <f>SUM(D5:D9)</f>
        <v>422395.9231175445</v>
      </c>
      <c r="E10" s="467">
        <f>SUM(E5:E9)</f>
        <v>7.082342358916617</v>
      </c>
      <c r="F10" s="467">
        <f>SUM(F5:F9)</f>
        <v>8.7947487639458242</v>
      </c>
      <c r="G10" s="467">
        <f>SUM(G5:G9)</f>
        <v>425193.81680817326</v>
      </c>
      <c r="H10" s="349"/>
      <c r="I10" s="349"/>
      <c r="J10" s="349"/>
      <c r="K10" s="349"/>
      <c r="L10" s="349"/>
      <c r="M10" s="349"/>
      <c r="N10" s="349"/>
      <c r="O10" s="349"/>
      <c r="P10" s="349"/>
      <c r="Q10" s="349"/>
      <c r="R10" s="349"/>
      <c r="S10" s="349"/>
      <c r="T10" s="349"/>
      <c r="U10" s="349"/>
      <c r="V10" s="349"/>
      <c r="W10" s="349"/>
      <c r="X10" s="349"/>
    </row>
    <row r="11" spans="1:24" s="26" customFormat="1" ht="20.149999999999999" customHeight="1" x14ac:dyDescent="0.3">
      <c r="A11" s="535" t="s">
        <v>428</v>
      </c>
      <c r="B11" s="537" t="s">
        <v>17</v>
      </c>
      <c r="C11" s="537" t="s">
        <v>17</v>
      </c>
      <c r="D11" s="537" t="s">
        <v>17</v>
      </c>
      <c r="E11" s="537" t="s">
        <v>17</v>
      </c>
      <c r="F11" s="537" t="s">
        <v>17</v>
      </c>
      <c r="G11" s="564">
        <f>G10-Sommaire!$E$9*1000</f>
        <v>409120.81680817326</v>
      </c>
      <c r="H11" s="349"/>
      <c r="I11" s="349"/>
      <c r="J11" s="349"/>
      <c r="K11" s="349"/>
      <c r="L11" s="349"/>
      <c r="M11" s="349"/>
      <c r="N11" s="349"/>
      <c r="O11" s="349"/>
      <c r="P11" s="349"/>
      <c r="Q11" s="349"/>
      <c r="R11" s="349"/>
      <c r="S11" s="349"/>
      <c r="T11" s="349"/>
      <c r="U11" s="349"/>
      <c r="V11" s="349"/>
      <c r="W11" s="349"/>
      <c r="X11" s="349"/>
    </row>
    <row r="12" spans="1:24" s="26" customFormat="1" x14ac:dyDescent="0.3">
      <c r="A12" s="349"/>
      <c r="B12" s="349"/>
      <c r="C12" s="349"/>
      <c r="D12" s="349"/>
      <c r="E12" s="349"/>
      <c r="F12" s="349"/>
      <c r="G12" s="349"/>
      <c r="H12" s="349"/>
      <c r="I12" s="349"/>
      <c r="J12" s="349"/>
      <c r="K12" s="349"/>
      <c r="L12" s="349"/>
      <c r="M12" s="349"/>
      <c r="N12" s="349"/>
      <c r="O12" s="349"/>
      <c r="P12" s="349"/>
      <c r="Q12" s="349"/>
      <c r="R12" s="349"/>
      <c r="S12" s="349"/>
      <c r="T12" s="349"/>
      <c r="U12" s="349"/>
      <c r="V12" s="349"/>
      <c r="W12" s="349"/>
      <c r="X12" s="349"/>
    </row>
    <row r="13" spans="1:24" s="26" customFormat="1" x14ac:dyDescent="0.3">
      <c r="A13" s="349"/>
      <c r="B13" s="349"/>
      <c r="C13" s="349"/>
      <c r="D13" s="349"/>
      <c r="E13" s="349"/>
      <c r="F13" s="349"/>
      <c r="G13" s="349"/>
      <c r="H13" s="349"/>
      <c r="I13" s="349"/>
      <c r="J13" s="349"/>
      <c r="K13" s="349"/>
      <c r="L13" s="349"/>
      <c r="M13" s="349"/>
      <c r="N13" s="349"/>
      <c r="O13" s="349"/>
      <c r="P13" s="349"/>
      <c r="Q13" s="349"/>
      <c r="R13" s="349"/>
      <c r="S13" s="349"/>
      <c r="T13" s="349"/>
      <c r="U13" s="349"/>
      <c r="V13" s="349"/>
      <c r="W13" s="349"/>
      <c r="X13" s="349"/>
    </row>
    <row r="14" spans="1:24" s="26" customFormat="1" x14ac:dyDescent="0.3">
      <c r="A14" s="491" t="s">
        <v>370</v>
      </c>
      <c r="B14" s="499"/>
      <c r="C14" s="499"/>
      <c r="D14" s="499"/>
      <c r="E14" s="499"/>
      <c r="F14" s="499"/>
      <c r="G14" s="506"/>
      <c r="K14" s="349"/>
      <c r="L14" s="349"/>
      <c r="M14" s="349"/>
      <c r="N14" s="349"/>
      <c r="O14" s="349"/>
      <c r="P14" s="349"/>
      <c r="Q14" s="349"/>
      <c r="R14" s="349"/>
      <c r="S14" s="349"/>
      <c r="T14" s="349"/>
      <c r="U14" s="349"/>
      <c r="V14" s="349"/>
      <c r="W14" s="349"/>
      <c r="X14" s="349"/>
    </row>
    <row r="15" spans="1:24" s="26" customFormat="1" x14ac:dyDescent="0.3">
      <c r="A15" s="569" t="s">
        <v>762</v>
      </c>
      <c r="B15" s="499"/>
      <c r="C15" s="499"/>
      <c r="D15" s="499"/>
      <c r="E15" s="499"/>
      <c r="F15" s="499"/>
      <c r="G15" s="506"/>
      <c r="K15" s="349"/>
      <c r="L15" s="349"/>
      <c r="M15" s="349"/>
      <c r="N15" s="349"/>
      <c r="O15" s="349"/>
      <c r="P15" s="349"/>
      <c r="Q15" s="349"/>
      <c r="R15" s="349"/>
      <c r="S15" s="349"/>
      <c r="T15" s="349"/>
      <c r="U15" s="349"/>
      <c r="V15" s="349"/>
      <c r="W15" s="349"/>
      <c r="X15" s="349"/>
    </row>
    <row r="16" spans="1:24" s="26" customFormat="1" ht="25" customHeight="1" x14ac:dyDescent="0.3">
      <c r="A16" s="503" t="s">
        <v>741</v>
      </c>
      <c r="B16" s="499"/>
      <c r="C16" s="499"/>
      <c r="D16" s="499"/>
      <c r="E16" s="499"/>
      <c r="F16" s="499"/>
      <c r="G16" s="506"/>
      <c r="K16" s="349"/>
      <c r="L16" s="349"/>
      <c r="M16" s="349"/>
      <c r="N16" s="349"/>
      <c r="O16" s="349"/>
      <c r="P16" s="349"/>
      <c r="Q16" s="349"/>
      <c r="R16" s="349"/>
      <c r="S16" s="349"/>
      <c r="T16" s="349"/>
      <c r="U16" s="349"/>
      <c r="V16" s="349"/>
      <c r="W16" s="349"/>
      <c r="X16" s="349"/>
    </row>
    <row r="17" spans="1:24" s="26" customFormat="1" ht="24" customHeight="1" x14ac:dyDescent="0.3">
      <c r="A17" s="504">
        <f>81606408+65340640</f>
        <v>146947048</v>
      </c>
      <c r="B17" s="505" t="s">
        <v>581</v>
      </c>
      <c r="C17" s="499"/>
      <c r="D17" s="499"/>
      <c r="E17" s="499"/>
      <c r="F17" s="499"/>
      <c r="G17" s="506"/>
      <c r="K17" s="349"/>
      <c r="L17" s="349"/>
      <c r="M17" s="349"/>
      <c r="N17" s="349"/>
      <c r="O17" s="349"/>
      <c r="P17" s="349"/>
      <c r="Q17" s="349"/>
      <c r="R17" s="349"/>
      <c r="S17" s="349"/>
      <c r="T17" s="349"/>
      <c r="U17" s="349"/>
      <c r="V17" s="349"/>
      <c r="W17" s="349"/>
      <c r="X17" s="349"/>
    </row>
    <row r="18" spans="1:24" s="26" customFormat="1" x14ac:dyDescent="0.3">
      <c r="B18" s="499"/>
      <c r="C18" s="499"/>
      <c r="D18" s="499"/>
      <c r="E18" s="499"/>
      <c r="F18" s="499"/>
      <c r="G18" s="506"/>
      <c r="K18" s="349"/>
      <c r="L18" s="349"/>
      <c r="M18" s="349"/>
      <c r="N18" s="349"/>
      <c r="O18" s="349"/>
      <c r="P18" s="349"/>
      <c r="Q18" s="349"/>
      <c r="R18" s="349"/>
      <c r="S18" s="349"/>
      <c r="T18" s="349"/>
      <c r="U18" s="349"/>
      <c r="V18" s="349"/>
      <c r="W18" s="349"/>
      <c r="X18" s="349"/>
    </row>
    <row r="19" spans="1:24" s="26" customFormat="1" ht="23.15" customHeight="1" x14ac:dyDescent="0.3">
      <c r="A19" s="503" t="s">
        <v>750</v>
      </c>
      <c r="B19" s="499"/>
      <c r="C19" s="499"/>
      <c r="D19" s="499"/>
      <c r="E19" s="499"/>
      <c r="F19" s="499"/>
      <c r="G19" s="506"/>
      <c r="K19" s="349"/>
      <c r="L19" s="349"/>
      <c r="M19" s="349"/>
      <c r="N19" s="349"/>
      <c r="O19" s="349"/>
      <c r="P19" s="349"/>
      <c r="Q19" s="349"/>
      <c r="R19" s="349"/>
      <c r="S19" s="349"/>
      <c r="T19" s="349"/>
      <c r="U19" s="349"/>
      <c r="V19" s="349"/>
      <c r="W19" s="349"/>
      <c r="X19" s="349"/>
    </row>
    <row r="20" spans="1:24" s="26" customFormat="1" ht="19" customHeight="1" x14ac:dyDescent="0.3">
      <c r="A20" s="510">
        <v>3435741916.1638479</v>
      </c>
      <c r="B20" s="505" t="s">
        <v>14</v>
      </c>
      <c r="C20" s="499"/>
      <c r="D20" s="499"/>
      <c r="E20" s="499"/>
      <c r="F20" s="499"/>
      <c r="G20" s="506"/>
      <c r="K20" s="349"/>
      <c r="L20" s="349"/>
      <c r="M20" s="349"/>
      <c r="N20" s="349"/>
      <c r="O20" s="349"/>
      <c r="P20" s="349"/>
      <c r="Q20" s="349"/>
      <c r="R20" s="349"/>
      <c r="S20" s="349"/>
      <c r="T20" s="349"/>
      <c r="U20" s="349"/>
      <c r="V20" s="349"/>
      <c r="W20" s="349"/>
      <c r="X20" s="349"/>
    </row>
    <row r="21" spans="1:24" s="26" customFormat="1" x14ac:dyDescent="0.3">
      <c r="A21" s="33"/>
      <c r="B21" s="655"/>
      <c r="C21" s="499"/>
      <c r="D21" s="499"/>
      <c r="E21" s="499"/>
      <c r="F21" s="499"/>
      <c r="G21" s="506"/>
      <c r="K21" s="349"/>
      <c r="L21" s="349"/>
      <c r="M21" s="349"/>
      <c r="N21" s="349"/>
      <c r="O21" s="349"/>
      <c r="P21" s="349"/>
      <c r="Q21" s="349"/>
      <c r="R21" s="349"/>
      <c r="S21" s="349"/>
      <c r="T21" s="349"/>
      <c r="U21" s="349"/>
      <c r="V21" s="349"/>
      <c r="W21" s="349"/>
      <c r="X21" s="349"/>
    </row>
    <row r="22" spans="1:24" s="26" customFormat="1" x14ac:dyDescent="0.3">
      <c r="A22" s="491" t="s">
        <v>374</v>
      </c>
      <c r="B22" s="349"/>
      <c r="C22" s="349"/>
      <c r="D22" s="349"/>
      <c r="E22" s="349"/>
      <c r="F22" s="349"/>
      <c r="G22" s="349"/>
      <c r="H22" s="349"/>
      <c r="I22" s="349"/>
      <c r="J22" s="349"/>
      <c r="K22" s="349"/>
      <c r="L22" s="349"/>
      <c r="M22" s="349"/>
      <c r="N22" s="349"/>
      <c r="O22" s="349"/>
      <c r="P22" s="349"/>
      <c r="Q22" s="349"/>
      <c r="R22" s="349"/>
      <c r="S22" s="349"/>
      <c r="T22" s="349"/>
      <c r="U22" s="349"/>
      <c r="V22" s="349"/>
      <c r="W22" s="349"/>
      <c r="X22" s="349"/>
    </row>
    <row r="23" spans="1:24" s="26" customFormat="1" ht="29.15" customHeight="1" x14ac:dyDescent="0.3">
      <c r="A23" s="773" t="s">
        <v>908</v>
      </c>
      <c r="B23" s="349"/>
      <c r="C23" s="349"/>
      <c r="D23" s="349"/>
      <c r="E23" s="349"/>
      <c r="F23" s="349"/>
      <c r="G23" s="349"/>
      <c r="H23" s="349"/>
      <c r="I23" s="349"/>
      <c r="J23" s="349"/>
      <c r="K23" s="349"/>
      <c r="L23" s="349"/>
      <c r="M23" s="349"/>
      <c r="N23" s="349"/>
      <c r="O23" s="349"/>
      <c r="P23" s="349"/>
      <c r="Q23" s="349"/>
      <c r="R23" s="349"/>
      <c r="S23" s="349"/>
      <c r="T23" s="349"/>
      <c r="U23" s="349"/>
      <c r="V23" s="349"/>
      <c r="W23" s="349"/>
      <c r="X23" s="349"/>
    </row>
    <row r="24" spans="1:24" s="26" customFormat="1" ht="22" customHeight="1" x14ac:dyDescent="0.3">
      <c r="A24" s="857" t="s">
        <v>349</v>
      </c>
      <c r="B24" s="857" t="s">
        <v>319</v>
      </c>
      <c r="C24" s="857"/>
      <c r="D24" s="857"/>
      <c r="E24" s="857"/>
      <c r="F24" s="856" t="s">
        <v>743</v>
      </c>
      <c r="G24" s="349"/>
      <c r="H24" s="349"/>
      <c r="I24" s="349"/>
      <c r="J24" s="349"/>
      <c r="K24" s="349"/>
      <c r="L24" s="349"/>
      <c r="M24" s="349"/>
      <c r="N24" s="349"/>
      <c r="O24" s="349"/>
      <c r="P24" s="349"/>
      <c r="Q24" s="349"/>
      <c r="R24" s="349"/>
      <c r="S24" s="349"/>
      <c r="T24" s="349"/>
      <c r="U24" s="349"/>
      <c r="V24" s="349"/>
      <c r="W24" s="349"/>
      <c r="X24" s="349"/>
    </row>
    <row r="25" spans="1:24" s="26" customFormat="1" ht="28.5" customHeight="1" x14ac:dyDescent="0.3">
      <c r="A25" s="857"/>
      <c r="B25" s="523" t="s">
        <v>320</v>
      </c>
      <c r="C25" s="617" t="s">
        <v>20</v>
      </c>
      <c r="D25" s="617" t="s">
        <v>321</v>
      </c>
      <c r="E25" s="617" t="s">
        <v>350</v>
      </c>
      <c r="F25" s="856"/>
      <c r="G25" s="349"/>
      <c r="H25" s="349"/>
      <c r="I25" s="349"/>
      <c r="J25" s="349"/>
      <c r="K25" s="349"/>
      <c r="L25" s="349"/>
      <c r="M25" s="349"/>
      <c r="N25" s="349"/>
      <c r="O25" s="349"/>
      <c r="P25" s="349"/>
      <c r="Q25" s="349"/>
      <c r="R25" s="349"/>
      <c r="S25" s="349"/>
      <c r="T25" s="349"/>
      <c r="U25" s="349"/>
      <c r="V25" s="349"/>
      <c r="W25" s="349"/>
      <c r="X25" s="349"/>
    </row>
    <row r="26" spans="1:24" s="506" customFormat="1" ht="20.149999999999999" customHeight="1" x14ac:dyDescent="0.3">
      <c r="A26" s="855" t="s">
        <v>342</v>
      </c>
      <c r="B26" s="855"/>
      <c r="C26" s="855"/>
      <c r="D26" s="855"/>
      <c r="E26" s="855"/>
      <c r="F26" s="855"/>
      <c r="G26" s="499"/>
      <c r="H26" s="499"/>
      <c r="I26" s="499"/>
      <c r="J26" s="499"/>
      <c r="K26" s="499"/>
      <c r="L26" s="499"/>
      <c r="M26" s="499"/>
      <c r="N26" s="499"/>
      <c r="O26" s="499"/>
      <c r="P26" s="499"/>
      <c r="Q26" s="499"/>
      <c r="R26" s="499"/>
      <c r="S26" s="499"/>
      <c r="T26" s="499"/>
      <c r="U26" s="499"/>
      <c r="V26" s="499"/>
      <c r="W26" s="499"/>
      <c r="X26" s="499"/>
    </row>
    <row r="27" spans="1:24" s="506" customFormat="1" ht="20.149999999999999" customHeight="1" x14ac:dyDescent="0.3">
      <c r="A27" s="577" t="s">
        <v>738</v>
      </c>
      <c r="B27" s="578">
        <v>192576.19041534842</v>
      </c>
      <c r="C27" s="578">
        <v>111592.35613538833</v>
      </c>
      <c r="D27" s="578">
        <v>41950.950760945394</v>
      </c>
      <c r="E27" s="578">
        <v>125970.80437099509</v>
      </c>
      <c r="F27" s="578">
        <f>SUM(B27:E27)</f>
        <v>472090.30168267724</v>
      </c>
      <c r="G27" s="579"/>
      <c r="H27" s="499"/>
      <c r="I27" s="499"/>
      <c r="J27" s="499"/>
      <c r="K27" s="499"/>
      <c r="L27" s="499"/>
      <c r="M27" s="499"/>
      <c r="N27" s="499"/>
      <c r="O27" s="499"/>
      <c r="P27" s="499"/>
      <c r="Q27" s="499"/>
      <c r="R27" s="499"/>
      <c r="S27" s="499"/>
      <c r="T27" s="499"/>
      <c r="U27" s="499"/>
      <c r="V27" s="499"/>
      <c r="W27" s="499"/>
      <c r="X27" s="499"/>
    </row>
    <row r="28" spans="1:24" s="506" customFormat="1" ht="20.149999999999999" customHeight="1" x14ac:dyDescent="0.3">
      <c r="A28" s="577" t="s">
        <v>739</v>
      </c>
      <c r="B28" s="578">
        <v>238208.25585337944</v>
      </c>
      <c r="C28" s="578">
        <v>2921.4572784532616</v>
      </c>
      <c r="D28" s="578">
        <v>3632.1833849166842</v>
      </c>
      <c r="E28" s="578">
        <v>227328.40516592786</v>
      </c>
      <c r="F28" s="578"/>
    </row>
    <row r="29" spans="1:24" s="506" customFormat="1" ht="20.149999999999999" customHeight="1" x14ac:dyDescent="0.3">
      <c r="A29" s="855" t="s">
        <v>343</v>
      </c>
      <c r="B29" s="855"/>
      <c r="C29" s="855"/>
      <c r="D29" s="855"/>
      <c r="E29" s="855"/>
      <c r="F29" s="855"/>
    </row>
    <row r="30" spans="1:24" s="506" customFormat="1" ht="20.149999999999999" customHeight="1" x14ac:dyDescent="0.3">
      <c r="A30" s="577" t="s">
        <v>738</v>
      </c>
      <c r="B30" s="578">
        <v>3332621.3125190418</v>
      </c>
      <c r="C30" s="578">
        <v>604557.52814205608</v>
      </c>
      <c r="D30" s="578">
        <v>434034.07871120539</v>
      </c>
      <c r="E30" s="578">
        <v>1343877.3582011145</v>
      </c>
      <c r="F30" s="578">
        <f>SUM(B30:E30)</f>
        <v>5715090.2775734179</v>
      </c>
      <c r="G30" s="579"/>
    </row>
    <row r="31" spans="1:24" s="506" customFormat="1" ht="20.149999999999999" customHeight="1" x14ac:dyDescent="0.3">
      <c r="A31" s="577" t="s">
        <v>739</v>
      </c>
      <c r="B31" s="578">
        <v>3504452.398698675</v>
      </c>
      <c r="C31" s="578">
        <v>161358.36547183254</v>
      </c>
      <c r="D31" s="578">
        <v>193080.08318655228</v>
      </c>
      <c r="E31" s="578">
        <v>1856199.430216358</v>
      </c>
      <c r="F31" s="578"/>
    </row>
    <row r="32" spans="1:24" s="506" customFormat="1" ht="20.149999999999999" customHeight="1" x14ac:dyDescent="0.3">
      <c r="A32" s="855" t="s">
        <v>344</v>
      </c>
      <c r="B32" s="855"/>
      <c r="C32" s="855"/>
      <c r="D32" s="855"/>
      <c r="E32" s="855"/>
      <c r="F32" s="855"/>
    </row>
    <row r="33" spans="1:7" s="506" customFormat="1" ht="20.149999999999999" customHeight="1" x14ac:dyDescent="0.3">
      <c r="A33" s="577" t="s">
        <v>738</v>
      </c>
      <c r="B33" s="578">
        <v>661869.66466079629</v>
      </c>
      <c r="C33" s="578">
        <v>117659.26923373026</v>
      </c>
      <c r="D33" s="578">
        <v>76488.20872993744</v>
      </c>
      <c r="E33" s="578">
        <v>642293.4919200117</v>
      </c>
      <c r="F33" s="578">
        <f>SUM(B33:E33)</f>
        <v>1498310.6345444757</v>
      </c>
      <c r="G33" s="579"/>
    </row>
    <row r="34" spans="1:7" s="506" customFormat="1" ht="20.149999999999999" customHeight="1" x14ac:dyDescent="0.3">
      <c r="A34" s="577" t="s">
        <v>739</v>
      </c>
      <c r="B34" s="578">
        <v>686497.51525647938</v>
      </c>
      <c r="C34" s="578">
        <v>11153.544679666291</v>
      </c>
      <c r="D34" s="578">
        <v>11781.02972709863</v>
      </c>
      <c r="E34" s="578">
        <v>788878.54488123138</v>
      </c>
      <c r="F34" s="578"/>
    </row>
    <row r="35" spans="1:7" s="506" customFormat="1" ht="20.149999999999999" customHeight="1" x14ac:dyDescent="0.3">
      <c r="A35" s="855" t="s">
        <v>351</v>
      </c>
      <c r="B35" s="855"/>
      <c r="C35" s="855"/>
      <c r="D35" s="855"/>
      <c r="E35" s="855"/>
      <c r="F35" s="855"/>
    </row>
    <row r="36" spans="1:7" s="506" customFormat="1" ht="20.149999999999999" customHeight="1" x14ac:dyDescent="0.3">
      <c r="A36" s="577" t="s">
        <v>738</v>
      </c>
      <c r="B36" s="578">
        <v>140586.85294771823</v>
      </c>
      <c r="C36" s="578">
        <v>112180.02796481896</v>
      </c>
      <c r="D36" s="578">
        <v>14698.219997120186</v>
      </c>
      <c r="E36" s="578">
        <v>269429.40481915715</v>
      </c>
      <c r="F36" s="578">
        <f>SUM(B36:E36)</f>
        <v>536894.50572881452</v>
      </c>
      <c r="G36" s="579"/>
    </row>
    <row r="37" spans="1:7" s="506" customFormat="1" ht="20.149999999999999" customHeight="1" x14ac:dyDescent="0.3">
      <c r="A37" s="577" t="s">
        <v>739</v>
      </c>
      <c r="B37" s="578">
        <v>243346.54630855654</v>
      </c>
      <c r="C37" s="578">
        <v>9326.1414393853156</v>
      </c>
      <c r="D37" s="578">
        <v>10034.25824690678</v>
      </c>
      <c r="E37" s="578">
        <v>274187.5597339659</v>
      </c>
      <c r="F37" s="578"/>
    </row>
    <row r="38" spans="1:7" s="506" customFormat="1" ht="20.149999999999999" customHeight="1" x14ac:dyDescent="0.3">
      <c r="A38" s="855" t="s">
        <v>352</v>
      </c>
      <c r="B38" s="855"/>
      <c r="C38" s="855"/>
      <c r="D38" s="855"/>
      <c r="E38" s="855"/>
      <c r="F38" s="855"/>
    </row>
    <row r="39" spans="1:7" s="506" customFormat="1" ht="20.149999999999999" customHeight="1" x14ac:dyDescent="0.3">
      <c r="A39" s="577" t="s">
        <v>738</v>
      </c>
      <c r="B39" s="578">
        <v>2272046.2680529458</v>
      </c>
      <c r="C39" s="578">
        <v>871222.67969241459</v>
      </c>
      <c r="D39" s="578">
        <v>103352.6837790771</v>
      </c>
      <c r="E39" s="578">
        <v>1195550.9883428062</v>
      </c>
      <c r="F39" s="578">
        <f>SUM(B39:E39)</f>
        <v>4442172.6198672438</v>
      </c>
      <c r="G39" s="579"/>
    </row>
    <row r="40" spans="1:7" s="506" customFormat="1" ht="20.149999999999999" customHeight="1" x14ac:dyDescent="0.3">
      <c r="A40" s="577" t="s">
        <v>739</v>
      </c>
      <c r="B40" s="578">
        <v>2104663.0888899169</v>
      </c>
      <c r="C40" s="578">
        <v>231138.02705252758</v>
      </c>
      <c r="D40" s="578">
        <v>244620.28420654894</v>
      </c>
      <c r="E40" s="578">
        <v>1861751.2197182504</v>
      </c>
      <c r="F40" s="578"/>
    </row>
    <row r="41" spans="1:7" s="506" customFormat="1" ht="20.149999999999999" customHeight="1" x14ac:dyDescent="0.3">
      <c r="A41" s="855" t="s">
        <v>353</v>
      </c>
      <c r="B41" s="855"/>
      <c r="C41" s="855"/>
      <c r="D41" s="855"/>
      <c r="E41" s="855"/>
      <c r="F41" s="855"/>
    </row>
    <row r="42" spans="1:7" s="506" customFormat="1" ht="20.149999999999999" customHeight="1" x14ac:dyDescent="0.3">
      <c r="A42" s="577" t="s">
        <v>738</v>
      </c>
      <c r="B42" s="578">
        <v>546514.83497131488</v>
      </c>
      <c r="C42" s="578">
        <v>1545971.7236094493</v>
      </c>
      <c r="D42" s="578">
        <v>126611.33129495251</v>
      </c>
      <c r="E42" s="578">
        <v>960844.97129283939</v>
      </c>
      <c r="F42" s="578">
        <f>SUM(B42:E42)</f>
        <v>3179942.8611685559</v>
      </c>
      <c r="G42" s="579"/>
    </row>
    <row r="43" spans="1:7" s="506" customFormat="1" ht="20.149999999999999" customHeight="1" x14ac:dyDescent="0.3">
      <c r="A43" s="577" t="s">
        <v>739</v>
      </c>
      <c r="B43" s="578">
        <v>844344.56950372807</v>
      </c>
      <c r="C43" s="578">
        <v>196249.90359610823</v>
      </c>
      <c r="D43" s="578">
        <v>206001.41630971144</v>
      </c>
      <c r="E43" s="578">
        <v>1933346.9717590082</v>
      </c>
      <c r="F43" s="578"/>
    </row>
    <row r="44" spans="1:7" s="506" customFormat="1" ht="20.149999999999999" customHeight="1" x14ac:dyDescent="0.3">
      <c r="A44" s="855" t="s">
        <v>354</v>
      </c>
      <c r="B44" s="855"/>
      <c r="C44" s="855"/>
      <c r="D44" s="855"/>
      <c r="E44" s="855"/>
      <c r="F44" s="855"/>
    </row>
    <row r="45" spans="1:7" s="506" customFormat="1" ht="20.149999999999999" customHeight="1" x14ac:dyDescent="0.3">
      <c r="A45" s="577" t="s">
        <v>738</v>
      </c>
      <c r="B45" s="578">
        <v>524308.93189116102</v>
      </c>
      <c r="C45" s="578">
        <v>521177.77752072643</v>
      </c>
      <c r="D45" s="578">
        <v>48256.297105150232</v>
      </c>
      <c r="E45" s="578">
        <v>416592.83779993211</v>
      </c>
      <c r="F45" s="578">
        <f>SUM(B45:E45)</f>
        <v>1510335.8443169699</v>
      </c>
      <c r="G45" s="579"/>
    </row>
    <row r="46" spans="1:7" s="506" customFormat="1" ht="20.149999999999999" customHeight="1" x14ac:dyDescent="0.3">
      <c r="A46" s="577" t="s">
        <v>739</v>
      </c>
      <c r="B46" s="578">
        <v>329597.8988781863</v>
      </c>
      <c r="C46" s="578">
        <v>30132.961332313665</v>
      </c>
      <c r="D46" s="578">
        <v>41085.393252103</v>
      </c>
      <c r="E46" s="578">
        <v>1109519.5908543668</v>
      </c>
      <c r="F46" s="578"/>
    </row>
    <row r="47" spans="1:7" s="506" customFormat="1" ht="20.149999999999999" customHeight="1" x14ac:dyDescent="0.3">
      <c r="A47" s="855" t="s">
        <v>355</v>
      </c>
      <c r="B47" s="855"/>
      <c r="C47" s="855"/>
      <c r="D47" s="855"/>
      <c r="E47" s="855"/>
      <c r="F47" s="855"/>
    </row>
    <row r="48" spans="1:7" s="506" customFormat="1" ht="20.149999999999999" customHeight="1" x14ac:dyDescent="0.3">
      <c r="A48" s="577" t="s">
        <v>738</v>
      </c>
      <c r="B48" s="578">
        <v>327114.01248101983</v>
      </c>
      <c r="C48" s="578">
        <v>152843.9180905791</v>
      </c>
      <c r="D48" s="578">
        <v>34415.521992466434</v>
      </c>
      <c r="E48" s="578">
        <v>242370.36868903181</v>
      </c>
      <c r="F48" s="578">
        <f>SUM(B48:E48)</f>
        <v>756743.82125309715</v>
      </c>
      <c r="G48" s="579"/>
    </row>
    <row r="49" spans="1:24" s="506" customFormat="1" ht="20.149999999999999" customHeight="1" x14ac:dyDescent="0.3">
      <c r="A49" s="577" t="s">
        <v>739</v>
      </c>
      <c r="B49" s="578">
        <v>329232.72439894499</v>
      </c>
      <c r="C49" s="578">
        <v>17940.962468092504</v>
      </c>
      <c r="D49" s="578">
        <v>19581.891836281236</v>
      </c>
      <c r="E49" s="578">
        <v>389988.24254977843</v>
      </c>
      <c r="F49" s="578"/>
    </row>
    <row r="50" spans="1:24" s="506" customFormat="1" ht="20.149999999999999" customHeight="1" x14ac:dyDescent="0.3">
      <c r="A50" s="855" t="s">
        <v>356</v>
      </c>
      <c r="B50" s="855"/>
      <c r="C50" s="855"/>
      <c r="D50" s="855"/>
      <c r="E50" s="855"/>
      <c r="F50" s="855"/>
    </row>
    <row r="51" spans="1:24" s="506" customFormat="1" ht="20.149999999999999" customHeight="1" x14ac:dyDescent="0.3">
      <c r="A51" s="577" t="s">
        <v>738</v>
      </c>
      <c r="B51" s="578">
        <v>715129.53656101762</v>
      </c>
      <c r="C51" s="578">
        <v>213007.77349379088</v>
      </c>
      <c r="D51" s="578">
        <v>54328.718988590379</v>
      </c>
      <c r="E51" s="578">
        <v>421689.17431902408</v>
      </c>
      <c r="F51" s="578">
        <f>SUM(B51:E51)</f>
        <v>1404155.203362423</v>
      </c>
      <c r="G51" s="579"/>
    </row>
    <row r="52" spans="1:24" s="506" customFormat="1" ht="20.149999999999999" customHeight="1" x14ac:dyDescent="0.3">
      <c r="A52" s="577" t="s">
        <v>739</v>
      </c>
      <c r="B52" s="578">
        <v>429385.35063475883</v>
      </c>
      <c r="C52" s="578">
        <v>71038.729090435387</v>
      </c>
      <c r="D52" s="578">
        <v>88071.215576342744</v>
      </c>
      <c r="E52" s="578">
        <v>815659.90806088608</v>
      </c>
      <c r="F52" s="578"/>
    </row>
    <row r="53" spans="1:24" s="506" customFormat="1" ht="20.149999999999999" customHeight="1" x14ac:dyDescent="0.3">
      <c r="A53" s="855" t="s">
        <v>357</v>
      </c>
      <c r="B53" s="855"/>
      <c r="C53" s="855"/>
      <c r="D53" s="855"/>
      <c r="E53" s="855"/>
      <c r="F53" s="855"/>
    </row>
    <row r="54" spans="1:24" s="506" customFormat="1" ht="20.149999999999999" customHeight="1" x14ac:dyDescent="0.3">
      <c r="A54" s="577" t="s">
        <v>738</v>
      </c>
      <c r="B54" s="578">
        <v>689705.8953062346</v>
      </c>
      <c r="C54" s="578">
        <v>378563.96164088225</v>
      </c>
      <c r="D54" s="578">
        <v>139929.77164695624</v>
      </c>
      <c r="E54" s="578">
        <v>302555.10320400633</v>
      </c>
      <c r="F54" s="578">
        <f>SUM(B54:E54)</f>
        <v>1510754.7317980793</v>
      </c>
      <c r="G54" s="579"/>
    </row>
    <row r="55" spans="1:24" s="506" customFormat="1" ht="20.149999999999999" customHeight="1" x14ac:dyDescent="0.3">
      <c r="A55" s="577" t="s">
        <v>739</v>
      </c>
      <c r="B55" s="578">
        <v>901610.21701542009</v>
      </c>
      <c r="C55" s="578">
        <v>40779.821650761114</v>
      </c>
      <c r="D55" s="578">
        <v>48513.721546907516</v>
      </c>
      <c r="E55" s="578">
        <v>519850.97158499062</v>
      </c>
      <c r="F55" s="578"/>
    </row>
    <row r="56" spans="1:24" s="506" customFormat="1" ht="20.149999999999999" customHeight="1" x14ac:dyDescent="0.3">
      <c r="A56" s="855" t="s">
        <v>358</v>
      </c>
      <c r="B56" s="855"/>
      <c r="C56" s="855"/>
      <c r="D56" s="855"/>
      <c r="E56" s="855"/>
      <c r="F56" s="855"/>
    </row>
    <row r="57" spans="1:24" s="506" customFormat="1" ht="20.149999999999999" customHeight="1" x14ac:dyDescent="0.3">
      <c r="A57" s="577" t="s">
        <v>738</v>
      </c>
      <c r="B57" s="578">
        <v>53319.078621879045</v>
      </c>
      <c r="C57" s="578">
        <v>9960.8782087149939</v>
      </c>
      <c r="D57" s="578">
        <v>12189.598706061572</v>
      </c>
      <c r="E57" s="578">
        <v>461063.35207660135</v>
      </c>
      <c r="F57" s="578">
        <f>SUM(B57:E57)</f>
        <v>536532.90761325695</v>
      </c>
      <c r="G57" s="579"/>
    </row>
    <row r="58" spans="1:24" s="506" customFormat="1" ht="27" customHeight="1" x14ac:dyDescent="0.3">
      <c r="A58" s="577" t="s">
        <v>739</v>
      </c>
      <c r="B58" s="578">
        <v>64580.940602785282</v>
      </c>
      <c r="C58" s="578">
        <v>173.57047637415104</v>
      </c>
      <c r="D58" s="578">
        <v>2944.901899091411</v>
      </c>
      <c r="E58" s="578">
        <v>468833.49463500612</v>
      </c>
      <c r="F58" s="578"/>
    </row>
    <row r="59" spans="1:24" s="506" customFormat="1" ht="26.15" customHeight="1" x14ac:dyDescent="0.3">
      <c r="A59" s="536" t="s">
        <v>16</v>
      </c>
      <c r="B59" s="537"/>
      <c r="C59" s="537"/>
      <c r="D59" s="537"/>
      <c r="E59" s="537"/>
      <c r="F59" s="564">
        <f>F27+F30+F33+F36+F39+F42+F45+F48+F51+F54+F57</f>
        <v>21563023.708909012</v>
      </c>
    </row>
    <row r="60" spans="1:24" s="26" customFormat="1" x14ac:dyDescent="0.3"/>
    <row r="61" spans="1:24" s="26" customFormat="1" x14ac:dyDescent="0.3"/>
    <row r="62" spans="1:24" s="26" customFormat="1" x14ac:dyDescent="0.3">
      <c r="A62" s="507" t="s">
        <v>736</v>
      </c>
    </row>
    <row r="63" spans="1:24" s="26" customFormat="1" ht="23.15" customHeight="1" x14ac:dyDescent="0.3">
      <c r="A63" s="621"/>
      <c r="B63" s="612"/>
      <c r="C63" s="864" t="s">
        <v>324</v>
      </c>
      <c r="D63" s="865"/>
      <c r="E63" s="865"/>
      <c r="F63" s="865"/>
      <c r="G63" s="865"/>
      <c r="H63" s="865"/>
      <c r="I63" s="865"/>
      <c r="J63" s="865"/>
      <c r="K63" s="865"/>
      <c r="L63" s="865"/>
      <c r="M63" s="865"/>
      <c r="N63" s="865"/>
      <c r="O63" s="865"/>
      <c r="P63" s="865"/>
      <c r="Q63" s="865"/>
      <c r="R63" s="865"/>
      <c r="S63" s="865"/>
      <c r="T63" s="865"/>
      <c r="U63" s="865"/>
      <c r="V63" s="865"/>
      <c r="W63" s="865"/>
      <c r="X63" s="865"/>
    </row>
    <row r="64" spans="1:24" s="26" customFormat="1" ht="33" customHeight="1" x14ac:dyDescent="0.3">
      <c r="A64" s="864" t="s">
        <v>322</v>
      </c>
      <c r="B64" s="867" t="s">
        <v>27</v>
      </c>
      <c r="C64" s="866" t="s">
        <v>342</v>
      </c>
      <c r="D64" s="866"/>
      <c r="E64" s="866" t="s">
        <v>343</v>
      </c>
      <c r="F64" s="866"/>
      <c r="G64" s="866" t="s">
        <v>344</v>
      </c>
      <c r="H64" s="866"/>
      <c r="I64" s="866" t="s">
        <v>345</v>
      </c>
      <c r="J64" s="866"/>
      <c r="K64" s="866" t="s">
        <v>352</v>
      </c>
      <c r="L64" s="866"/>
      <c r="M64" s="866" t="s">
        <v>359</v>
      </c>
      <c r="N64" s="866"/>
      <c r="O64" s="866" t="s">
        <v>354</v>
      </c>
      <c r="P64" s="866"/>
      <c r="Q64" s="866" t="s">
        <v>355</v>
      </c>
      <c r="R64" s="866"/>
      <c r="S64" s="866" t="s">
        <v>360</v>
      </c>
      <c r="T64" s="866"/>
      <c r="U64" s="866" t="s">
        <v>357</v>
      </c>
      <c r="V64" s="866"/>
      <c r="W64" s="866" t="s">
        <v>361</v>
      </c>
      <c r="X64" s="866"/>
    </row>
    <row r="65" spans="1:24" s="26" customFormat="1" ht="30" customHeight="1" x14ac:dyDescent="0.3">
      <c r="A65" s="864"/>
      <c r="B65" s="867"/>
      <c r="C65" s="609" t="s">
        <v>740</v>
      </c>
      <c r="D65" s="580" t="s">
        <v>260</v>
      </c>
      <c r="E65" s="609" t="s">
        <v>740</v>
      </c>
      <c r="F65" s="580" t="s">
        <v>260</v>
      </c>
      <c r="G65" s="609" t="s">
        <v>740</v>
      </c>
      <c r="H65" s="580" t="s">
        <v>260</v>
      </c>
      <c r="I65" s="609" t="s">
        <v>740</v>
      </c>
      <c r="J65" s="580" t="s">
        <v>260</v>
      </c>
      <c r="K65" s="609" t="s">
        <v>740</v>
      </c>
      <c r="L65" s="580" t="s">
        <v>260</v>
      </c>
      <c r="M65" s="609" t="s">
        <v>740</v>
      </c>
      <c r="N65" s="580" t="s">
        <v>260</v>
      </c>
      <c r="O65" s="609" t="s">
        <v>740</v>
      </c>
      <c r="P65" s="580" t="s">
        <v>260</v>
      </c>
      <c r="Q65" s="609" t="s">
        <v>740</v>
      </c>
      <c r="R65" s="580" t="s">
        <v>260</v>
      </c>
      <c r="S65" s="609" t="s">
        <v>740</v>
      </c>
      <c r="T65" s="580" t="s">
        <v>260</v>
      </c>
      <c r="U65" s="609" t="s">
        <v>740</v>
      </c>
      <c r="V65" s="580" t="s">
        <v>260</v>
      </c>
      <c r="W65" s="609" t="s">
        <v>740</v>
      </c>
      <c r="X65" s="580" t="s">
        <v>260</v>
      </c>
    </row>
    <row r="66" spans="1:24" s="26" customFormat="1" ht="20.149999999999999" customHeight="1" x14ac:dyDescent="0.3">
      <c r="A66" s="868" t="s">
        <v>329</v>
      </c>
      <c r="B66" s="581" t="s">
        <v>19</v>
      </c>
      <c r="C66" s="584">
        <v>565.40984575772177</v>
      </c>
      <c r="D66" s="644">
        <v>0.124569616375888</v>
      </c>
      <c r="E66" s="584">
        <v>606.7712265138008</v>
      </c>
      <c r="F66" s="645">
        <v>0.124569616375888</v>
      </c>
      <c r="G66" s="584">
        <v>497.93774965069065</v>
      </c>
      <c r="H66" s="645">
        <v>0.124569616375888</v>
      </c>
      <c r="I66" s="584">
        <v>834.4106940411782</v>
      </c>
      <c r="J66" s="645">
        <v>0.124569616375888</v>
      </c>
      <c r="K66" s="584">
        <v>508.43502594908256</v>
      </c>
      <c r="L66" s="645">
        <v>0.124569616375888</v>
      </c>
      <c r="M66" s="584">
        <v>600.77556488524067</v>
      </c>
      <c r="N66" s="645">
        <v>0.124569616375888</v>
      </c>
      <c r="O66" s="584">
        <v>1029.946713665981</v>
      </c>
      <c r="P66" s="645">
        <v>0.124569616375888</v>
      </c>
      <c r="Q66" s="584">
        <v>711.73943656720792</v>
      </c>
      <c r="R66" s="645">
        <v>0.124569616375888</v>
      </c>
      <c r="S66" s="584">
        <v>967.56916362802258</v>
      </c>
      <c r="T66" s="645">
        <v>0.124569616375888</v>
      </c>
      <c r="U66" s="584">
        <v>562.12515752785498</v>
      </c>
      <c r="V66" s="645">
        <v>0.124569616375888</v>
      </c>
      <c r="W66" s="584">
        <v>688.51205781867816</v>
      </c>
      <c r="X66" s="645">
        <v>0.12456961637588801</v>
      </c>
    </row>
    <row r="67" spans="1:24" s="26" customFormat="1" ht="20.149999999999999" customHeight="1" x14ac:dyDescent="0.3">
      <c r="A67" s="868"/>
      <c r="B67" s="581" t="s">
        <v>95</v>
      </c>
      <c r="C67" s="584">
        <v>639.41145874454151</v>
      </c>
      <c r="D67" s="644">
        <v>0.78229008291291702</v>
      </c>
      <c r="E67" s="584">
        <v>686.1862735153926</v>
      </c>
      <c r="F67" s="645">
        <v>0.78229008291291702</v>
      </c>
      <c r="G67" s="584">
        <v>563.1085225292511</v>
      </c>
      <c r="H67" s="645">
        <v>0.78229008291291702</v>
      </c>
      <c r="I67" s="584">
        <v>943.61950551800885</v>
      </c>
      <c r="J67" s="645">
        <v>0.78229008291291702</v>
      </c>
      <c r="K67" s="584">
        <v>574.97969668930523</v>
      </c>
      <c r="L67" s="645">
        <v>0.78229008291291702</v>
      </c>
      <c r="M67" s="584">
        <v>679.40589150255607</v>
      </c>
      <c r="N67" s="645">
        <v>0.78229008291291702</v>
      </c>
      <c r="O67" s="584">
        <v>1164.7475465018777</v>
      </c>
      <c r="P67" s="645">
        <v>0.78229008291291702</v>
      </c>
      <c r="Q67" s="584">
        <v>804.89286629165724</v>
      </c>
      <c r="R67" s="645">
        <v>0.78229008291291702</v>
      </c>
      <c r="S67" s="584">
        <v>1094.205937504548</v>
      </c>
      <c r="T67" s="645">
        <v>0.78229008291291702</v>
      </c>
      <c r="U67" s="584">
        <v>635.69686603212506</v>
      </c>
      <c r="V67" s="645">
        <v>0.78229008291291702</v>
      </c>
      <c r="W67" s="584">
        <v>778.62545648292644</v>
      </c>
      <c r="X67" s="645">
        <v>0.78229008291291702</v>
      </c>
    </row>
    <row r="68" spans="1:24" s="26" customFormat="1" ht="20.149999999999999" customHeight="1" x14ac:dyDescent="0.3">
      <c r="A68" s="868"/>
      <c r="B68" s="581" t="s">
        <v>346</v>
      </c>
      <c r="C68" s="584">
        <v>724.88441763810476</v>
      </c>
      <c r="D68" s="644">
        <v>3.4214606096239199E-2</v>
      </c>
      <c r="E68" s="584">
        <v>777.91182886384718</v>
      </c>
      <c r="F68" s="645">
        <v>3.4214606096239199E-2</v>
      </c>
      <c r="G68" s="584">
        <v>638.38173032139821</v>
      </c>
      <c r="H68" s="645">
        <v>3.4214606096239199E-2</v>
      </c>
      <c r="I68" s="584">
        <v>1069.7573000527925</v>
      </c>
      <c r="J68" s="645">
        <v>3.4214606096239199E-2</v>
      </c>
      <c r="K68" s="584">
        <v>651.83977685779814</v>
      </c>
      <c r="L68" s="645">
        <v>3.4214606096239199E-2</v>
      </c>
      <c r="M68" s="584">
        <v>770.22508318620601</v>
      </c>
      <c r="N68" s="645">
        <v>3.4214606096239199E-2</v>
      </c>
      <c r="O68" s="584">
        <v>1320.4445046999756</v>
      </c>
      <c r="P68" s="645">
        <v>3.4214606096239199E-2</v>
      </c>
      <c r="Q68" s="584">
        <v>912.486457137446</v>
      </c>
      <c r="R68" s="645">
        <v>3.4214606096239199E-2</v>
      </c>
      <c r="S68" s="584">
        <v>1240.473286702593</v>
      </c>
      <c r="T68" s="645">
        <v>3.4214606096239199E-2</v>
      </c>
      <c r="U68" s="584">
        <v>720.67327888186537</v>
      </c>
      <c r="V68" s="645">
        <v>3.4214606096239199E-2</v>
      </c>
      <c r="W68" s="584">
        <v>882.70776643420265</v>
      </c>
      <c r="X68" s="645">
        <v>3.4214606096239206E-2</v>
      </c>
    </row>
    <row r="69" spans="1:24" s="26" customFormat="1" ht="20.149999999999999" customHeight="1" x14ac:dyDescent="0.3">
      <c r="A69" s="868"/>
      <c r="B69" s="581" t="s">
        <v>31</v>
      </c>
      <c r="C69" s="584">
        <v>724.88441763810476</v>
      </c>
      <c r="D69" s="644">
        <v>2.0652015053784401E-3</v>
      </c>
      <c r="E69" s="584">
        <v>777.91182886384718</v>
      </c>
      <c r="F69" s="645">
        <v>2.0652015053784401E-3</v>
      </c>
      <c r="G69" s="584">
        <v>638.38173032139821</v>
      </c>
      <c r="H69" s="645">
        <v>2.0652015053784401E-3</v>
      </c>
      <c r="I69" s="584">
        <v>1069.7573000527925</v>
      </c>
      <c r="J69" s="645">
        <v>2.0652015053784401E-3</v>
      </c>
      <c r="K69" s="584">
        <v>651.83977685779814</v>
      </c>
      <c r="L69" s="645">
        <v>2.0652015053784401E-3</v>
      </c>
      <c r="M69" s="584">
        <v>770.22508318620601</v>
      </c>
      <c r="N69" s="645">
        <v>2.0652015053784401E-3</v>
      </c>
      <c r="O69" s="584">
        <v>1320.4445046999756</v>
      </c>
      <c r="P69" s="645">
        <v>2.0652015053784401E-3</v>
      </c>
      <c r="Q69" s="584">
        <v>912.486457137446</v>
      </c>
      <c r="R69" s="645">
        <v>2.0652015053784401E-3</v>
      </c>
      <c r="S69" s="584">
        <v>1240.473286702593</v>
      </c>
      <c r="T69" s="645">
        <v>2.0652015053784401E-3</v>
      </c>
      <c r="U69" s="584">
        <v>720.67327888186537</v>
      </c>
      <c r="V69" s="645">
        <v>2.0652015053784401E-3</v>
      </c>
      <c r="W69" s="584">
        <v>882.70776643420265</v>
      </c>
      <c r="X69" s="645">
        <v>2.0652015053784401E-3</v>
      </c>
    </row>
    <row r="70" spans="1:24" s="26" customFormat="1" ht="20.149999999999999" customHeight="1" x14ac:dyDescent="0.3">
      <c r="A70" s="868"/>
      <c r="B70" s="581" t="s">
        <v>13</v>
      </c>
      <c r="C70" s="584">
        <v>639.41145874454151</v>
      </c>
      <c r="D70" s="644">
        <v>5.6860493109576797E-2</v>
      </c>
      <c r="E70" s="584">
        <v>686.1862735153926</v>
      </c>
      <c r="F70" s="645">
        <v>5.6860493109576797E-2</v>
      </c>
      <c r="G70" s="584">
        <v>563.1085225292511</v>
      </c>
      <c r="H70" s="645">
        <v>5.6860493109576797E-2</v>
      </c>
      <c r="I70" s="584">
        <v>943.61950551800885</v>
      </c>
      <c r="J70" s="645">
        <v>5.6860493109576797E-2</v>
      </c>
      <c r="K70" s="584">
        <v>574.97969668930523</v>
      </c>
      <c r="L70" s="645">
        <v>5.6860493109576797E-2</v>
      </c>
      <c r="M70" s="584">
        <v>679.40589150255607</v>
      </c>
      <c r="N70" s="645">
        <v>5.6860493109576797E-2</v>
      </c>
      <c r="O70" s="584">
        <v>1164.7475465018777</v>
      </c>
      <c r="P70" s="645">
        <v>5.6860493109576797E-2</v>
      </c>
      <c r="Q70" s="584">
        <v>804.89286629165724</v>
      </c>
      <c r="R70" s="645">
        <v>5.6860493109576797E-2</v>
      </c>
      <c r="S70" s="584">
        <v>1094.205937504548</v>
      </c>
      <c r="T70" s="645">
        <v>5.6860493109576797E-2</v>
      </c>
      <c r="U70" s="584">
        <v>635.69686603212506</v>
      </c>
      <c r="V70" s="645">
        <v>5.6860493109576797E-2</v>
      </c>
      <c r="W70" s="584">
        <v>778.62545648292644</v>
      </c>
      <c r="X70" s="645">
        <v>5.686049310957679E-2</v>
      </c>
    </row>
    <row r="71" spans="1:24" s="26" customFormat="1" ht="20.149999999999999" customHeight="1" x14ac:dyDescent="0.3">
      <c r="A71" s="868" t="s">
        <v>330</v>
      </c>
      <c r="B71" s="581" t="s">
        <v>19</v>
      </c>
      <c r="C71" s="584">
        <v>76.198449783522307</v>
      </c>
      <c r="D71" s="644">
        <v>0.16168529205592599</v>
      </c>
      <c r="E71" s="584">
        <v>81.762840122356593</v>
      </c>
      <c r="F71" s="645">
        <v>0.16168529205592599</v>
      </c>
      <c r="G71" s="584">
        <v>71.484898985901992</v>
      </c>
      <c r="H71" s="645">
        <v>0.16168529205592599</v>
      </c>
      <c r="I71" s="584">
        <v>112.43818983310909</v>
      </c>
      <c r="J71" s="645">
        <v>0.16168529205592599</v>
      </c>
      <c r="K71" s="584">
        <v>74.807194331044187</v>
      </c>
      <c r="L71" s="645">
        <v>0.16168529205592599</v>
      </c>
      <c r="M71" s="584">
        <v>80.955300340701953</v>
      </c>
      <c r="N71" s="645">
        <v>0.16168529205592599</v>
      </c>
      <c r="O71" s="584">
        <v>111.41526165243411</v>
      </c>
      <c r="P71" s="645">
        <v>0.16168529205592599</v>
      </c>
      <c r="Q71" s="584">
        <v>95.907508808919815</v>
      </c>
      <c r="R71" s="645">
        <v>0.16168529205592599</v>
      </c>
      <c r="S71" s="584">
        <v>130.38039320480732</v>
      </c>
      <c r="T71" s="645">
        <v>0.16168529205592599</v>
      </c>
      <c r="U71" s="584">
        <v>75.748030812835154</v>
      </c>
      <c r="V71" s="645">
        <v>0.16168529205592599</v>
      </c>
      <c r="W71" s="584">
        <v>91.109806787563258</v>
      </c>
      <c r="X71" s="645">
        <v>0.16168529205592599</v>
      </c>
    </row>
    <row r="72" spans="1:24" s="26" customFormat="1" ht="20.149999999999999" customHeight="1" x14ac:dyDescent="0.3">
      <c r="A72" s="868"/>
      <c r="B72" s="581" t="s">
        <v>95</v>
      </c>
      <c r="C72" s="584">
        <v>86.171406981533437</v>
      </c>
      <c r="D72" s="644">
        <v>0.532568001189478</v>
      </c>
      <c r="E72" s="584">
        <v>92.464072329109726</v>
      </c>
      <c r="F72" s="645">
        <v>0.532568001189478</v>
      </c>
      <c r="G72" s="584">
        <v>80.840940216608445</v>
      </c>
      <c r="H72" s="645">
        <v>0.532568001189478</v>
      </c>
      <c r="I72" s="584">
        <v>127.15425371384613</v>
      </c>
      <c r="J72" s="645">
        <v>0.532568001189478</v>
      </c>
      <c r="K72" s="584">
        <v>84.598062114920495</v>
      </c>
      <c r="L72" s="645">
        <v>0.532568001189478</v>
      </c>
      <c r="M72" s="584">
        <v>91.550840637698215</v>
      </c>
      <c r="N72" s="645">
        <v>0.532568001189478</v>
      </c>
      <c r="O72" s="584">
        <v>125.99744329552074</v>
      </c>
      <c r="P72" s="645">
        <v>0.532568001189478</v>
      </c>
      <c r="Q72" s="584">
        <v>108.46001457559316</v>
      </c>
      <c r="R72" s="645">
        <v>0.532568001189478</v>
      </c>
      <c r="S72" s="584">
        <v>147.44475717264996</v>
      </c>
      <c r="T72" s="645">
        <v>0.532568001189478</v>
      </c>
      <c r="U72" s="584">
        <v>85.662036560671169</v>
      </c>
      <c r="V72" s="645">
        <v>0.532568001189478</v>
      </c>
      <c r="W72" s="584">
        <v>103.03438275981514</v>
      </c>
      <c r="X72" s="645">
        <v>0.53256800118947811</v>
      </c>
    </row>
    <row r="73" spans="1:24" s="26" customFormat="1" ht="20.149999999999999" customHeight="1" x14ac:dyDescent="0.3">
      <c r="A73" s="868"/>
      <c r="B73" s="581" t="s">
        <v>346</v>
      </c>
      <c r="C73" s="584">
        <v>97.690320235285</v>
      </c>
      <c r="D73" s="644">
        <v>0.18390158892505901</v>
      </c>
      <c r="E73" s="584">
        <v>104.82415400302126</v>
      </c>
      <c r="F73" s="645">
        <v>0.18390158892505901</v>
      </c>
      <c r="G73" s="584">
        <v>91.647306392182031</v>
      </c>
      <c r="H73" s="645">
        <v>0.18390158892505901</v>
      </c>
      <c r="I73" s="584">
        <v>144.15152542706292</v>
      </c>
      <c r="J73" s="645">
        <v>0.18390158892505901</v>
      </c>
      <c r="K73" s="584">
        <v>95.906659398774593</v>
      </c>
      <c r="L73" s="645">
        <v>0.18390158892505901</v>
      </c>
      <c r="M73" s="584">
        <v>103.78884659064353</v>
      </c>
      <c r="N73" s="645">
        <v>0.18390158892505901</v>
      </c>
      <c r="O73" s="584">
        <v>142.84007904158219</v>
      </c>
      <c r="P73" s="645">
        <v>0.18390158892505901</v>
      </c>
      <c r="Q73" s="584">
        <v>122.95834462682028</v>
      </c>
      <c r="R73" s="645">
        <v>0.18390158892505901</v>
      </c>
      <c r="S73" s="584">
        <v>167.15435026257347</v>
      </c>
      <c r="T73" s="645">
        <v>0.18390158892505901</v>
      </c>
      <c r="U73" s="584">
        <v>97.112860016455329</v>
      </c>
      <c r="V73" s="645">
        <v>0.18390158892505901</v>
      </c>
      <c r="W73" s="584">
        <v>116.80744459944003</v>
      </c>
      <c r="X73" s="645">
        <v>0.18390158892505901</v>
      </c>
    </row>
    <row r="74" spans="1:24" s="26" customFormat="1" ht="20.149999999999999" customHeight="1" x14ac:dyDescent="0.3">
      <c r="A74" s="868"/>
      <c r="B74" s="581" t="s">
        <v>31</v>
      </c>
      <c r="C74" s="584">
        <v>97.690320235285</v>
      </c>
      <c r="D74" s="644">
        <v>9.5985851103522098E-3</v>
      </c>
      <c r="E74" s="584">
        <v>104.82415400302126</v>
      </c>
      <c r="F74" s="645">
        <v>9.5985851103522098E-3</v>
      </c>
      <c r="G74" s="584">
        <v>91.647306392182031</v>
      </c>
      <c r="H74" s="645">
        <v>9.5985851103522098E-3</v>
      </c>
      <c r="I74" s="584">
        <v>144.15152542706292</v>
      </c>
      <c r="J74" s="645">
        <v>9.5985851103522098E-3</v>
      </c>
      <c r="K74" s="584">
        <v>95.906659398774593</v>
      </c>
      <c r="L74" s="645">
        <v>9.5985851103522098E-3</v>
      </c>
      <c r="M74" s="584">
        <v>103.78884659064353</v>
      </c>
      <c r="N74" s="645">
        <v>9.5985851103522098E-3</v>
      </c>
      <c r="O74" s="584">
        <v>142.84007904158219</v>
      </c>
      <c r="P74" s="645">
        <v>9.5985851103522098E-3</v>
      </c>
      <c r="Q74" s="584">
        <v>122.95834462682028</v>
      </c>
      <c r="R74" s="645">
        <v>9.5985851103522098E-3</v>
      </c>
      <c r="S74" s="584">
        <v>167.15435026257347</v>
      </c>
      <c r="T74" s="645">
        <v>9.5985851103522098E-3</v>
      </c>
      <c r="U74" s="584">
        <v>97.112860016455329</v>
      </c>
      <c r="V74" s="645">
        <v>9.5985851103522098E-3</v>
      </c>
      <c r="W74" s="584">
        <v>116.80744459944003</v>
      </c>
      <c r="X74" s="645">
        <v>9.598585110352208E-3</v>
      </c>
    </row>
    <row r="75" spans="1:24" s="26" customFormat="1" ht="20.149999999999999" customHeight="1" x14ac:dyDescent="0.3">
      <c r="A75" s="868"/>
      <c r="B75" s="581" t="s">
        <v>13</v>
      </c>
      <c r="C75" s="584">
        <v>86.171406981533437</v>
      </c>
      <c r="D75" s="644">
        <v>0.112246532719182</v>
      </c>
      <c r="E75" s="584">
        <v>92.464072329109726</v>
      </c>
      <c r="F75" s="645">
        <v>0.112246532719182</v>
      </c>
      <c r="G75" s="584">
        <v>80.840940216608445</v>
      </c>
      <c r="H75" s="645">
        <v>0.112246532719182</v>
      </c>
      <c r="I75" s="584">
        <v>127.15425371384613</v>
      </c>
      <c r="J75" s="645">
        <v>0.112246532719182</v>
      </c>
      <c r="K75" s="584">
        <v>84.598062114920495</v>
      </c>
      <c r="L75" s="645">
        <v>0.112246532719182</v>
      </c>
      <c r="M75" s="584">
        <v>91.550840637698215</v>
      </c>
      <c r="N75" s="645">
        <v>0.112246532719182</v>
      </c>
      <c r="O75" s="584">
        <v>125.99744329552074</v>
      </c>
      <c r="P75" s="645">
        <v>0.112246532719182</v>
      </c>
      <c r="Q75" s="584">
        <v>108.46001457559316</v>
      </c>
      <c r="R75" s="645">
        <v>0.112246532719182</v>
      </c>
      <c r="S75" s="584">
        <v>147.44475717264996</v>
      </c>
      <c r="T75" s="645">
        <v>0.112246532719182</v>
      </c>
      <c r="U75" s="584">
        <v>85.662036560671169</v>
      </c>
      <c r="V75" s="645">
        <v>0.112246532719182</v>
      </c>
      <c r="W75" s="584">
        <v>103.03438275981514</v>
      </c>
      <c r="X75" s="645">
        <v>0.11224653271918197</v>
      </c>
    </row>
    <row r="76" spans="1:24" s="26" customFormat="1" ht="20.149999999999999" customHeight="1" x14ac:dyDescent="0.3">
      <c r="A76" s="868" t="s">
        <v>347</v>
      </c>
      <c r="B76" s="581" t="s">
        <v>19</v>
      </c>
      <c r="C76" s="584">
        <v>188.82209782982255</v>
      </c>
      <c r="D76" s="644">
        <v>0.91840921630545791</v>
      </c>
      <c r="E76" s="584">
        <v>202.61823206535686</v>
      </c>
      <c r="F76" s="645">
        <v>0.91840921630545791</v>
      </c>
      <c r="G76" s="584">
        <v>173.81604509793203</v>
      </c>
      <c r="H76" s="645">
        <v>5.6197745694651968E-2</v>
      </c>
      <c r="I76" s="584">
        <v>278.63487959258384</v>
      </c>
      <c r="J76" s="645">
        <v>0.91840921630545791</v>
      </c>
      <c r="K76" s="584">
        <v>181.23724518136669</v>
      </c>
      <c r="L76" s="645">
        <v>0.91840921630545791</v>
      </c>
      <c r="M76" s="584">
        <v>200.61676257464228</v>
      </c>
      <c r="N76" s="645">
        <v>0.91840921630545791</v>
      </c>
      <c r="O76" s="584">
        <v>225.27313085173304</v>
      </c>
      <c r="P76" s="645">
        <v>0.91840921630545791</v>
      </c>
      <c r="Q76" s="584">
        <v>237.67033641340964</v>
      </c>
      <c r="R76" s="645">
        <v>0.91840921630545791</v>
      </c>
      <c r="S76" s="584">
        <v>323.09858785673299</v>
      </c>
      <c r="T76" s="645">
        <v>0.91840921630545791</v>
      </c>
      <c r="U76" s="584">
        <v>187.71183388188277</v>
      </c>
      <c r="V76" s="645">
        <v>0.91840921630545791</v>
      </c>
      <c r="W76" s="584">
        <v>219.94991513454625</v>
      </c>
      <c r="X76" s="645">
        <v>0.83218806924437716</v>
      </c>
    </row>
    <row r="77" spans="1:24" s="26" customFormat="1" ht="20.149999999999999" customHeight="1" x14ac:dyDescent="0.3">
      <c r="A77" s="868"/>
      <c r="B77" s="581" t="s">
        <v>95</v>
      </c>
      <c r="C77" s="584"/>
      <c r="D77" s="644">
        <v>3.5061899283056502E-2</v>
      </c>
      <c r="E77" s="584"/>
      <c r="F77" s="645">
        <v>3.5061899283056502E-2</v>
      </c>
      <c r="G77" s="584"/>
      <c r="H77" s="645">
        <v>0.58620197272017371</v>
      </c>
      <c r="I77" s="584"/>
      <c r="J77" s="645">
        <v>3.5061899283056502E-2</v>
      </c>
      <c r="K77" s="584"/>
      <c r="L77" s="645">
        <v>3.5061899283056502E-2</v>
      </c>
      <c r="M77" s="584"/>
      <c r="N77" s="645">
        <v>3.5061899283056502E-2</v>
      </c>
      <c r="O77" s="584"/>
      <c r="P77" s="645">
        <v>3.5061899283056502E-2</v>
      </c>
      <c r="Q77" s="584"/>
      <c r="R77" s="645">
        <v>3.5061899283056502E-2</v>
      </c>
      <c r="S77" s="584"/>
      <c r="T77" s="645">
        <v>3.5061899283056502E-2</v>
      </c>
      <c r="U77" s="584"/>
      <c r="V77" s="645">
        <v>3.5061899283056502E-2</v>
      </c>
      <c r="W77" s="584"/>
      <c r="X77" s="645">
        <v>9.0175906626768193E-2</v>
      </c>
    </row>
    <row r="78" spans="1:24" s="26" customFormat="1" ht="20.149999999999999" customHeight="1" x14ac:dyDescent="0.3">
      <c r="A78" s="868"/>
      <c r="B78" s="581" t="s">
        <v>346</v>
      </c>
      <c r="C78" s="584"/>
      <c r="D78" s="644">
        <v>0</v>
      </c>
      <c r="E78" s="584"/>
      <c r="F78" s="645">
        <v>0</v>
      </c>
      <c r="G78" s="584"/>
      <c r="H78" s="645">
        <v>0.17473277018202035</v>
      </c>
      <c r="I78" s="584"/>
      <c r="J78" s="645">
        <v>0</v>
      </c>
      <c r="K78" s="584"/>
      <c r="L78" s="645">
        <v>0</v>
      </c>
      <c r="M78" s="584"/>
      <c r="N78" s="645">
        <v>0</v>
      </c>
      <c r="O78" s="584"/>
      <c r="P78" s="645">
        <v>0</v>
      </c>
      <c r="Q78" s="584"/>
      <c r="R78" s="645">
        <v>0</v>
      </c>
      <c r="S78" s="584"/>
      <c r="T78" s="645">
        <v>0</v>
      </c>
      <c r="U78" s="584"/>
      <c r="V78" s="645">
        <v>0</v>
      </c>
      <c r="W78" s="584"/>
      <c r="X78" s="645">
        <v>1.7473277018202036E-2</v>
      </c>
    </row>
    <row r="79" spans="1:24" s="26" customFormat="1" ht="20.149999999999999" customHeight="1" x14ac:dyDescent="0.3">
      <c r="A79" s="868"/>
      <c r="B79" s="581" t="s">
        <v>31</v>
      </c>
      <c r="C79" s="584"/>
      <c r="D79" s="644">
        <v>0</v>
      </c>
      <c r="E79" s="584"/>
      <c r="F79" s="645">
        <v>0</v>
      </c>
      <c r="G79" s="584"/>
      <c r="H79" s="645">
        <v>0.16185635148934435</v>
      </c>
      <c r="I79" s="584"/>
      <c r="J79" s="645">
        <v>0</v>
      </c>
      <c r="K79" s="584"/>
      <c r="L79" s="645">
        <v>0</v>
      </c>
      <c r="M79" s="584"/>
      <c r="N79" s="645">
        <v>0</v>
      </c>
      <c r="O79" s="584"/>
      <c r="P79" s="645">
        <v>0</v>
      </c>
      <c r="Q79" s="584"/>
      <c r="R79" s="645">
        <v>0</v>
      </c>
      <c r="S79" s="584"/>
      <c r="T79" s="645">
        <v>0</v>
      </c>
      <c r="U79" s="584"/>
      <c r="V79" s="645">
        <v>0</v>
      </c>
      <c r="W79" s="584"/>
      <c r="X79" s="645">
        <v>1.6185635148934435E-2</v>
      </c>
    </row>
    <row r="80" spans="1:24" s="26" customFormat="1" ht="20.149999999999999" customHeight="1" x14ac:dyDescent="0.3">
      <c r="A80" s="868"/>
      <c r="B80" s="581" t="s">
        <v>13</v>
      </c>
      <c r="C80" s="584"/>
      <c r="D80" s="644">
        <v>4.6528884411485304E-2</v>
      </c>
      <c r="E80" s="584"/>
      <c r="F80" s="645">
        <v>4.6528884411485304E-2</v>
      </c>
      <c r="G80" s="584"/>
      <c r="H80" s="645">
        <v>2.1011159913809693E-2</v>
      </c>
      <c r="I80" s="584"/>
      <c r="J80" s="645">
        <v>4.6528884411485304E-2</v>
      </c>
      <c r="K80" s="584"/>
      <c r="L80" s="645">
        <v>4.6528884411485304E-2</v>
      </c>
      <c r="M80" s="584"/>
      <c r="N80" s="645">
        <v>4.6528884411485304E-2</v>
      </c>
      <c r="O80" s="584"/>
      <c r="P80" s="645">
        <v>4.6528884411485304E-2</v>
      </c>
      <c r="Q80" s="584"/>
      <c r="R80" s="645">
        <v>4.6528884411485304E-2</v>
      </c>
      <c r="S80" s="584"/>
      <c r="T80" s="645">
        <v>4.6528884411485304E-2</v>
      </c>
      <c r="U80" s="584"/>
      <c r="V80" s="645">
        <v>4.6528884411485304E-2</v>
      </c>
      <c r="W80" s="584"/>
      <c r="X80" s="645">
        <v>4.3977111961717733E-2</v>
      </c>
    </row>
    <row r="81" spans="1:24" s="26" customFormat="1" ht="20.149999999999999" customHeight="1" x14ac:dyDescent="0.3">
      <c r="A81" s="583" t="s">
        <v>348</v>
      </c>
      <c r="B81" s="581" t="s">
        <v>19</v>
      </c>
      <c r="C81" s="584">
        <v>59.963057537556239</v>
      </c>
      <c r="D81" s="644">
        <v>1</v>
      </c>
      <c r="E81" s="584">
        <v>64.341859005723833</v>
      </c>
      <c r="F81" s="645">
        <v>1</v>
      </c>
      <c r="G81" s="584">
        <v>56.253809984197751</v>
      </c>
      <c r="H81" s="645">
        <v>1</v>
      </c>
      <c r="I81" s="584">
        <v>88.481297000645242</v>
      </c>
      <c r="J81" s="645">
        <v>1</v>
      </c>
      <c r="K81" s="584">
        <v>76.291199658771376</v>
      </c>
      <c r="L81" s="645">
        <v>1</v>
      </c>
      <c r="M81" s="584">
        <v>63.70637932647486</v>
      </c>
      <c r="N81" s="645">
        <v>1</v>
      </c>
      <c r="O81" s="584">
        <v>112.91075116723479</v>
      </c>
      <c r="P81" s="645">
        <v>1</v>
      </c>
      <c r="Q81" s="584">
        <v>75.472761992257531</v>
      </c>
      <c r="R81" s="645">
        <v>1</v>
      </c>
      <c r="S81" s="584">
        <v>102.60060468064076</v>
      </c>
      <c r="T81" s="645">
        <v>1</v>
      </c>
      <c r="U81" s="584">
        <v>59.608608094159621</v>
      </c>
      <c r="V81" s="645">
        <v>1</v>
      </c>
      <c r="W81" s="582">
        <v>75.963032844766218</v>
      </c>
      <c r="X81" s="645">
        <v>1</v>
      </c>
    </row>
    <row r="82" spans="1:24" s="26" customFormat="1" ht="20.149999999999999" customHeight="1" x14ac:dyDescent="0.3">
      <c r="A82" s="586" t="s">
        <v>97</v>
      </c>
      <c r="B82" s="581" t="s">
        <v>19</v>
      </c>
      <c r="C82" s="584">
        <v>120.05011289492636</v>
      </c>
      <c r="D82" s="585">
        <v>1</v>
      </c>
      <c r="E82" s="584">
        <v>128.81952249650476</v>
      </c>
      <c r="F82" s="585">
        <v>1</v>
      </c>
      <c r="G82" s="584">
        <v>111.38740075736742</v>
      </c>
      <c r="H82" s="585">
        <v>1</v>
      </c>
      <c r="I82" s="584">
        <v>177.14913195741332</v>
      </c>
      <c r="J82" s="585">
        <v>1</v>
      </c>
      <c r="K82" s="584">
        <v>129.62371524326437</v>
      </c>
      <c r="L82" s="585">
        <v>1</v>
      </c>
      <c r="M82" s="584">
        <v>127.54711524074561</v>
      </c>
      <c r="N82" s="585">
        <v>1</v>
      </c>
      <c r="O82" s="584">
        <v>169.50066560858698</v>
      </c>
      <c r="P82" s="585">
        <v>1</v>
      </c>
      <c r="Q82" s="584">
        <v>151.10478605158741</v>
      </c>
      <c r="R82" s="585">
        <v>1</v>
      </c>
      <c r="S82" s="584">
        <v>205.41782800917326</v>
      </c>
      <c r="T82" s="585">
        <v>1</v>
      </c>
      <c r="U82" s="584">
        <v>119.34267014526148</v>
      </c>
      <c r="V82" s="585">
        <v>1</v>
      </c>
      <c r="W82" s="582">
        <v>143.99429484048309</v>
      </c>
      <c r="X82" s="585">
        <v>1</v>
      </c>
    </row>
    <row r="83" spans="1:24" s="26" customFormat="1" ht="20.149999999999999" customHeight="1" x14ac:dyDescent="0.3">
      <c r="A83" s="871" t="s">
        <v>328</v>
      </c>
      <c r="B83" s="581" t="s">
        <v>19</v>
      </c>
      <c r="C83" s="584">
        <v>67.550160402643257</v>
      </c>
      <c r="D83" s="644">
        <v>0.94080700001226902</v>
      </c>
      <c r="E83" s="584">
        <v>65.774791344585935</v>
      </c>
      <c r="F83" s="645">
        <v>0.940806594</v>
      </c>
      <c r="G83" s="584">
        <v>54.151046656425201</v>
      </c>
      <c r="H83" s="645">
        <v>0.940806594</v>
      </c>
      <c r="I83" s="584">
        <v>99.687999459366182</v>
      </c>
      <c r="J83" s="645">
        <v>0.940806594</v>
      </c>
      <c r="K83" s="584">
        <v>70.79410352848511</v>
      </c>
      <c r="L83" s="645">
        <v>0.940806593999999</v>
      </c>
      <c r="M83" s="584">
        <v>68.791426797792667</v>
      </c>
      <c r="N83" s="645">
        <v>0.940806593999999</v>
      </c>
      <c r="O83" s="584">
        <v>115.05829549962996</v>
      </c>
      <c r="P83" s="645">
        <v>0.940806593999999</v>
      </c>
      <c r="Q83" s="584">
        <v>70.344371892053147</v>
      </c>
      <c r="R83" s="645">
        <v>0.940806593999999</v>
      </c>
      <c r="S83" s="584">
        <v>83.068318516754516</v>
      </c>
      <c r="T83" s="645">
        <v>0.940806593999999</v>
      </c>
      <c r="U83" s="584">
        <v>49.80269846734106</v>
      </c>
      <c r="V83" s="645">
        <v>0.940806593999999</v>
      </c>
      <c r="W83" s="584">
        <v>74.502321256507699</v>
      </c>
      <c r="X83" s="645">
        <v>0.94080663460122638</v>
      </c>
    </row>
    <row r="84" spans="1:24" s="26" customFormat="1" x14ac:dyDescent="0.3">
      <c r="A84" s="871"/>
      <c r="B84" s="581" t="s">
        <v>20</v>
      </c>
      <c r="C84" s="584"/>
      <c r="D84" s="644">
        <v>5.9192999987730699E-2</v>
      </c>
      <c r="E84" s="584"/>
      <c r="F84" s="645">
        <v>5.9193405999999997E-2</v>
      </c>
      <c r="G84" s="584"/>
      <c r="H84" s="645">
        <v>5.9193405999999997E-2</v>
      </c>
      <c r="I84" s="584"/>
      <c r="J84" s="645">
        <v>5.9193405999999997E-2</v>
      </c>
      <c r="K84" s="584"/>
      <c r="L84" s="645">
        <v>5.9193405999999997E-2</v>
      </c>
      <c r="M84" s="584"/>
      <c r="N84" s="645">
        <v>5.9193405999999997E-2</v>
      </c>
      <c r="O84" s="584"/>
      <c r="P84" s="645">
        <v>5.9193405999999997E-2</v>
      </c>
      <c r="Q84" s="584"/>
      <c r="R84" s="645">
        <v>5.9193405999999997E-2</v>
      </c>
      <c r="S84" s="584"/>
      <c r="T84" s="645">
        <v>5.9193405999999997E-2</v>
      </c>
      <c r="U84" s="584"/>
      <c r="V84" s="645">
        <v>5.9193405999999997E-2</v>
      </c>
      <c r="W84" s="584"/>
      <c r="X84" s="645">
        <v>5.9193365398773068E-2</v>
      </c>
    </row>
    <row r="85" spans="1:24" s="26" customFormat="1" x14ac:dyDescent="0.3">
      <c r="A85" s="656" t="s">
        <v>737</v>
      </c>
    </row>
    <row r="86" spans="1:24" s="26" customFormat="1" x14ac:dyDescent="0.3"/>
    <row r="87" spans="1:24" s="26" customFormat="1" ht="23.15" customHeight="1" x14ac:dyDescent="0.3">
      <c r="A87" s="507" t="s">
        <v>363</v>
      </c>
    </row>
    <row r="88" spans="1:24" s="26" customFormat="1" ht="36" customHeight="1" x14ac:dyDescent="0.3">
      <c r="A88" s="657"/>
      <c r="B88" s="658"/>
      <c r="C88" s="872" t="s">
        <v>362</v>
      </c>
      <c r="D88" s="873"/>
      <c r="E88" s="873"/>
      <c r="F88" s="873"/>
      <c r="G88" s="873"/>
      <c r="H88" s="873"/>
      <c r="I88" s="873"/>
      <c r="J88" s="873"/>
      <c r="K88" s="873"/>
      <c r="L88" s="873"/>
      <c r="M88" s="840"/>
      <c r="N88" s="659"/>
      <c r="O88" s="660"/>
      <c r="P88" s="660"/>
      <c r="Q88" s="660"/>
      <c r="R88" s="660"/>
      <c r="S88" s="660"/>
      <c r="T88" s="660"/>
      <c r="U88" s="660"/>
      <c r="V88" s="660"/>
      <c r="W88" s="660"/>
      <c r="X88" s="660"/>
    </row>
    <row r="89" spans="1:24" s="26" customFormat="1" ht="45" customHeight="1" x14ac:dyDescent="0.3">
      <c r="A89" s="618" t="s">
        <v>322</v>
      </c>
      <c r="B89" s="618" t="s">
        <v>27</v>
      </c>
      <c r="C89" s="619" t="s">
        <v>342</v>
      </c>
      <c r="D89" s="619" t="s">
        <v>343</v>
      </c>
      <c r="E89" s="619" t="s">
        <v>344</v>
      </c>
      <c r="F89" s="619" t="s">
        <v>345</v>
      </c>
      <c r="G89" s="619" t="s">
        <v>352</v>
      </c>
      <c r="H89" s="619" t="s">
        <v>359</v>
      </c>
      <c r="I89" s="619" t="s">
        <v>354</v>
      </c>
      <c r="J89" s="619" t="s">
        <v>355</v>
      </c>
      <c r="K89" s="619" t="s">
        <v>360</v>
      </c>
      <c r="L89" s="619" t="s">
        <v>357</v>
      </c>
      <c r="M89" s="619" t="s">
        <v>361</v>
      </c>
      <c r="N89" s="587"/>
      <c r="O89" s="588"/>
      <c r="P89" s="588"/>
      <c r="Q89" s="588"/>
      <c r="R89" s="588"/>
      <c r="S89" s="588"/>
      <c r="T89" s="588"/>
      <c r="U89" s="588"/>
      <c r="V89" s="588"/>
      <c r="W89" s="588"/>
      <c r="X89" s="588"/>
    </row>
    <row r="90" spans="1:24" s="26" customFormat="1" ht="20.149999999999999" customHeight="1" x14ac:dyDescent="0.3">
      <c r="A90" s="868" t="s">
        <v>329</v>
      </c>
      <c r="B90" s="589" t="s">
        <v>19</v>
      </c>
      <c r="C90" s="590">
        <f>B27*C66+E27*D66*C66</f>
        <v>117756961.6221261</v>
      </c>
      <c r="D90" s="590">
        <f>B30*E66+E30*F66*E66</f>
        <v>2123716039.3725147</v>
      </c>
      <c r="E90" s="590">
        <f>B33*G66+E33*H66*G66</f>
        <v>369410017.15382552</v>
      </c>
      <c r="F90" s="590">
        <f>B36*I66+E36*J66*I66</f>
        <v>145312264.02661517</v>
      </c>
      <c r="G90" s="590">
        <f>B39*K66+E39*L66*K66</f>
        <v>1230908789.9889085</v>
      </c>
      <c r="H90" s="590">
        <f>B42*M66+E42*N66*M66</f>
        <v>400240841.3620804</v>
      </c>
      <c r="I90" s="590">
        <f>B45*O66+E45*P66*O66</f>
        <v>593459150.3522135</v>
      </c>
      <c r="J90" s="590">
        <f>B48*Q66+E48*R66*Q66</f>
        <v>254308768.50963968</v>
      </c>
      <c r="K90" s="590">
        <f>B51*S66+E51*T66*S66</f>
        <v>742763365.48566723</v>
      </c>
      <c r="L90" s="590">
        <f>B54*U66+E54*V66*U66</f>
        <v>408887067.43458825</v>
      </c>
      <c r="M90" s="591">
        <f>B57*W66+E57*X66*W66</f>
        <v>76255163.926493436</v>
      </c>
      <c r="N90" s="592"/>
      <c r="O90" s="593"/>
      <c r="P90" s="594"/>
      <c r="Q90" s="593"/>
      <c r="R90" s="594"/>
      <c r="S90" s="593"/>
      <c r="T90" s="594"/>
      <c r="U90" s="593"/>
      <c r="V90" s="594"/>
      <c r="W90" s="593"/>
      <c r="X90" s="595"/>
    </row>
    <row r="91" spans="1:24" s="26" customFormat="1" ht="20.149999999999999" customHeight="1" x14ac:dyDescent="0.3">
      <c r="A91" s="868"/>
      <c r="B91" s="589" t="s">
        <v>95</v>
      </c>
      <c r="C91" s="590">
        <f>D27*C68+E27*D68*C68</f>
        <v>33533872.399047419</v>
      </c>
      <c r="D91" s="590">
        <f>C30*E67+E30*F67*E67</f>
        <v>1136228031.0284615</v>
      </c>
      <c r="E91" s="590">
        <f>C33*G67+E33*H67*G67</f>
        <v>349194349.22589672</v>
      </c>
      <c r="F91" s="590">
        <f>C36*I67+E36*J67*I67</f>
        <v>304743787.10746688</v>
      </c>
      <c r="G91" s="590">
        <f>C39*K67+E39*L67*K67</f>
        <v>1038695280.1215174</v>
      </c>
      <c r="H91" s="590">
        <f>C42*M67+E42*N67*M67</f>
        <v>1561024184.5612972</v>
      </c>
      <c r="I91" s="590">
        <f>C45*O67+E45*P67*O67</f>
        <v>986627623.11214757</v>
      </c>
      <c r="J91" s="590">
        <f>C48*Q67+E48*R67*Q67</f>
        <v>275633834.68740147</v>
      </c>
      <c r="K91" s="590">
        <f>C51*S67+E51*T67*S67</f>
        <v>594034591.32752037</v>
      </c>
      <c r="L91" s="590">
        <f>C54*U67+E54*V67*U67</f>
        <v>391112381.39138722</v>
      </c>
      <c r="M91" s="591">
        <f>C57*W67+E57*X67*W67</f>
        <v>288594540.29881901</v>
      </c>
      <c r="N91" s="592"/>
      <c r="O91" s="593"/>
      <c r="P91" s="594"/>
      <c r="Q91" s="593"/>
      <c r="R91" s="594"/>
      <c r="S91" s="593"/>
      <c r="T91" s="594"/>
      <c r="U91" s="593"/>
      <c r="V91" s="594"/>
      <c r="W91" s="593"/>
      <c r="X91" s="595"/>
    </row>
    <row r="92" spans="1:24" s="26" customFormat="1" ht="20.149999999999999" customHeight="1" x14ac:dyDescent="0.3">
      <c r="A92" s="868"/>
      <c r="B92" s="589" t="s">
        <v>346</v>
      </c>
      <c r="C92" s="590">
        <f>C28*C68+E28*D68*C68</f>
        <v>7755834.9459000453</v>
      </c>
      <c r="D92" s="590">
        <f>D30*E68+E30*F68*E68</f>
        <v>373408812.23400593</v>
      </c>
      <c r="E92" s="590">
        <f>D33*G68+E33*H68*G68</f>
        <v>62857636.284437627</v>
      </c>
      <c r="F92" s="590">
        <f>D36*I68+E36*J68*I68</f>
        <v>25585001.253017589</v>
      </c>
      <c r="G92" s="590">
        <f>D39*K68+E39*L68*K68</f>
        <v>94033095.954971954</v>
      </c>
      <c r="H92" s="590">
        <f>D42*M68+E42*N68*M68</f>
        <v>122840320.57695904</v>
      </c>
      <c r="I92" s="590">
        <f>D45*O68+E45*P68*O68</f>
        <v>82540797.103156388</v>
      </c>
      <c r="J92" s="590">
        <f>D48*Q68+E48*R68*Q68</f>
        <v>38970589.036171019</v>
      </c>
      <c r="K92" s="590">
        <f>D51*S68+E51*T68*S68</f>
        <v>85290785.106080726</v>
      </c>
      <c r="L92" s="590">
        <f>D54*U68+E54*V68*U68</f>
        <v>108303915.64535171</v>
      </c>
      <c r="M92" s="591">
        <f>D57*W68+E57*X68*W68</f>
        <v>24684657.595984817</v>
      </c>
      <c r="N92" s="592"/>
      <c r="O92" s="593"/>
      <c r="P92" s="594"/>
      <c r="Q92" s="593"/>
      <c r="R92" s="594"/>
      <c r="S92" s="593"/>
      <c r="T92" s="594"/>
      <c r="U92" s="593"/>
      <c r="V92" s="594"/>
      <c r="W92" s="593"/>
      <c r="X92" s="595"/>
    </row>
    <row r="93" spans="1:24" s="26" customFormat="1" ht="20.149999999999999" customHeight="1" x14ac:dyDescent="0.3">
      <c r="A93" s="868"/>
      <c r="B93" s="589" t="s">
        <v>31</v>
      </c>
      <c r="C93" s="590">
        <f>E27*D70*C70</f>
        <v>4579952.1335529005</v>
      </c>
      <c r="D93" s="590">
        <f>E30*F69*E69</f>
        <v>2158999.0204190966</v>
      </c>
      <c r="E93" s="590">
        <f>E36*H69*G69</f>
        <v>355212.20060818002</v>
      </c>
      <c r="F93" s="590">
        <f>$E$36*J69*I69</f>
        <v>595240.78873170179</v>
      </c>
      <c r="G93" s="590">
        <f>E39*K69*L69</f>
        <v>1609427.4134330035</v>
      </c>
      <c r="H93" s="590">
        <f>E42*N69*M69</f>
        <v>1528387.2717127907</v>
      </c>
      <c r="I93" s="590">
        <f>E45*P69*O69</f>
        <v>1136041.9943945191</v>
      </c>
      <c r="J93" s="590">
        <f>E48*R69*Q69</f>
        <v>456739.3020827329</v>
      </c>
      <c r="K93" s="590">
        <f>E51*T69*S69</f>
        <v>1080294.8384969539</v>
      </c>
      <c r="L93" s="590">
        <f>E54*V69*U69</f>
        <v>450303.51303784992</v>
      </c>
      <c r="M93" s="591">
        <f>E57*X69*W69</f>
        <v>840504.38600824156</v>
      </c>
      <c r="N93" s="592"/>
      <c r="O93" s="593"/>
      <c r="P93" s="594"/>
      <c r="Q93" s="593"/>
      <c r="R93" s="594"/>
      <c r="S93" s="593"/>
      <c r="T93" s="594"/>
      <c r="U93" s="593"/>
      <c r="V93" s="594"/>
      <c r="W93" s="593"/>
      <c r="X93" s="595"/>
    </row>
    <row r="94" spans="1:24" s="26" customFormat="1" ht="20.149999999999999" customHeight="1" x14ac:dyDescent="0.3">
      <c r="A94" s="868"/>
      <c r="B94" s="589" t="s">
        <v>13</v>
      </c>
      <c r="C94" s="590">
        <f>E28*D70*C70</f>
        <v>8265035.8506133063</v>
      </c>
      <c r="D94" s="590">
        <f>E30*F70*E70</f>
        <v>52433914.893271923</v>
      </c>
      <c r="E94" s="590">
        <f>E36*H70*G70</f>
        <v>8626759.9566236492</v>
      </c>
      <c r="F94" s="590">
        <f>$E$36*J70*I70</f>
        <v>14456145.909368491</v>
      </c>
      <c r="G94" s="590">
        <f>E39*K70*L70</f>
        <v>39086900.561197884</v>
      </c>
      <c r="H94" s="590">
        <f>E42*N70*M70</f>
        <v>37118742.237035476</v>
      </c>
      <c r="I94" s="590">
        <f>E45*P70*O70</f>
        <v>27590160.387243789</v>
      </c>
      <c r="J94" s="590">
        <f>E48*R70*Q70</f>
        <v>11092468.994807428</v>
      </c>
      <c r="K94" s="590">
        <f>E51*T70*S70</f>
        <v>26236272.960603144</v>
      </c>
      <c r="L94" s="590">
        <f>E54*V70*U70</f>
        <v>10936168.036882514</v>
      </c>
      <c r="M94" s="591">
        <f>E57*X70*W70</f>
        <v>20412670.421139434</v>
      </c>
      <c r="N94" s="592"/>
      <c r="O94" s="593"/>
      <c r="P94" s="594"/>
      <c r="Q94" s="593"/>
      <c r="R94" s="594"/>
      <c r="S94" s="593"/>
      <c r="T94" s="594"/>
      <c r="U94" s="593"/>
      <c r="V94" s="594"/>
      <c r="W94" s="593"/>
      <c r="X94" s="595"/>
    </row>
    <row r="95" spans="1:24" s="26" customFormat="1" ht="20.149999999999999" customHeight="1" x14ac:dyDescent="0.3">
      <c r="A95" s="868" t="s">
        <v>330</v>
      </c>
      <c r="B95" s="589" t="s">
        <v>19</v>
      </c>
      <c r="C95" s="590">
        <f>B28*C71+E28*D71*C71</f>
        <v>20951824.102572836</v>
      </c>
      <c r="D95" s="590">
        <f>B31*E71+E31*F71*E71</f>
        <v>311072656.7869339</v>
      </c>
      <c r="E95" s="590">
        <f>B34*G71+E34*H71*G71</f>
        <v>58192108.538652174</v>
      </c>
      <c r="F95" s="590">
        <f>B37*I71+E37*J71*I71</f>
        <v>32346065.758130629</v>
      </c>
      <c r="G95" s="590">
        <f>B40*K71+E40*K71*L71</f>
        <v>179962236.98282549</v>
      </c>
      <c r="H95" s="590">
        <f>B43*M71+E43*N71*M71</f>
        <v>93660290.731925309</v>
      </c>
      <c r="I95" s="590">
        <f>B46*O71+E46*P71*O71</f>
        <v>56709354.075728118</v>
      </c>
      <c r="J95" s="590">
        <f>B49*Q71+E49*R71*Q71</f>
        <v>37623373.187782004</v>
      </c>
      <c r="K95" s="590">
        <f>B52*S71+E52*T71*S71</f>
        <v>73178024.546956286</v>
      </c>
      <c r="L95" s="590">
        <f>B55*U71+E55*V71*U71</f>
        <v>74661991.38962242</v>
      </c>
      <c r="M95" s="591">
        <f>B58*W71+E58*X71*W71</f>
        <v>12790397.483174492</v>
      </c>
      <c r="N95" s="592"/>
      <c r="O95" s="593"/>
      <c r="P95" s="594"/>
      <c r="Q95" s="593"/>
      <c r="R95" s="594"/>
      <c r="S95" s="593"/>
      <c r="T95" s="594"/>
      <c r="U95" s="593"/>
      <c r="V95" s="594"/>
      <c r="W95" s="593"/>
      <c r="X95" s="595"/>
    </row>
    <row r="96" spans="1:24" s="26" customFormat="1" ht="20.149999999999999" customHeight="1" x14ac:dyDescent="0.3">
      <c r="A96" s="868"/>
      <c r="B96" s="589" t="s">
        <v>95</v>
      </c>
      <c r="C96" s="590">
        <f>B28*C72+E28*D72*C72</f>
        <v>30959326.18789167</v>
      </c>
      <c r="D96" s="590">
        <f>C31*E72+E31*F72*E72</f>
        <v>106325434.07312007</v>
      </c>
      <c r="E96" s="590">
        <f>C34*G72+E34*H72*G72</f>
        <v>34865486.074186817</v>
      </c>
      <c r="F96" s="590">
        <f>C37*I72+E37*J72*I72</f>
        <v>19753370.346216626</v>
      </c>
      <c r="G96" s="590">
        <f>C40*K72+E40*K72*L72</f>
        <v>103433579.78143068</v>
      </c>
      <c r="H96" s="590">
        <f>C43*M72+E43*N72*M72</f>
        <v>112231135.14956409</v>
      </c>
      <c r="I96" s="590">
        <f>C46*O72+E46*P72*O72</f>
        <v>78247888.822361603</v>
      </c>
      <c r="J96" s="590">
        <f>C49*Q72+E49*R72*Q72</f>
        <v>24472507.849919606</v>
      </c>
      <c r="K96" s="590">
        <f>C52*S72+E52*T72*S72</f>
        <v>74523460.103322148</v>
      </c>
      <c r="L96" s="590">
        <f>C55*U72+E55*V72*U72</f>
        <v>27209330.755036294</v>
      </c>
      <c r="M96" s="591">
        <f>C58*W72+E58*X72*W72</f>
        <v>25744097.475169476</v>
      </c>
      <c r="N96" s="592"/>
      <c r="O96" s="593"/>
      <c r="P96" s="594"/>
      <c r="Q96" s="593"/>
      <c r="R96" s="594"/>
      <c r="S96" s="593"/>
      <c r="T96" s="594"/>
      <c r="U96" s="593"/>
      <c r="V96" s="594"/>
      <c r="W96" s="593"/>
      <c r="X96" s="595"/>
    </row>
    <row r="97" spans="1:24" s="26" customFormat="1" ht="20.149999999999999" customHeight="1" x14ac:dyDescent="0.3">
      <c r="A97" s="868"/>
      <c r="B97" s="589" t="s">
        <v>346</v>
      </c>
      <c r="C97" s="590">
        <f>B28*C73+E28*D73*C73</f>
        <v>27354687.689700473</v>
      </c>
      <c r="D97" s="590">
        <f>D31*E73+E31*F73*E73</f>
        <v>56022022.513455227</v>
      </c>
      <c r="E97" s="590">
        <f>D34*G73+E34*H73*G73</f>
        <v>14375525.901137795</v>
      </c>
      <c r="F97" s="590">
        <f>D37*I73+E37*J73*I73</f>
        <v>8715082.0968123116</v>
      </c>
      <c r="G97" s="590">
        <f>D40*K73+E40*K73*L73</f>
        <v>56297141.13600079</v>
      </c>
      <c r="H97" s="590">
        <f>D43*M73+E43*N73*M73</f>
        <v>58282315.058607779</v>
      </c>
      <c r="I97" s="590">
        <f>D46*O73+E46*P73*O73</f>
        <v>35014075.606236711</v>
      </c>
      <c r="J97" s="590">
        <f>D49*Q73+E49*R73*Q73</f>
        <v>11226262.772526005</v>
      </c>
      <c r="K97" s="590">
        <f>D52*S73+E52*T73*S73</f>
        <v>39794832.104050584</v>
      </c>
      <c r="L97" s="590">
        <f>D55*U73+E55*V73*U73</f>
        <v>13995433.536095615</v>
      </c>
      <c r="M97" s="591">
        <f>D58*W73+E58*X73*W73</f>
        <v>10415033.766845077</v>
      </c>
      <c r="N97" s="592"/>
      <c r="O97" s="593"/>
      <c r="P97" s="594"/>
      <c r="Q97" s="593"/>
      <c r="R97" s="594"/>
      <c r="S97" s="593"/>
      <c r="T97" s="594"/>
      <c r="U97" s="593"/>
      <c r="V97" s="594"/>
      <c r="W97" s="593"/>
      <c r="X97" s="595"/>
    </row>
    <row r="98" spans="1:24" s="26" customFormat="1" ht="20.149999999999999" customHeight="1" x14ac:dyDescent="0.3">
      <c r="A98" s="868"/>
      <c r="B98" s="589" t="s">
        <v>31</v>
      </c>
      <c r="C98" s="590">
        <f>E28*D74*C74</f>
        <v>213163.31154799534</v>
      </c>
      <c r="D98" s="590">
        <f>E31*F74*E74</f>
        <v>1867640.2338646697</v>
      </c>
      <c r="E98" s="590">
        <f>E34*H74*G74</f>
        <v>693964.20507412124</v>
      </c>
      <c r="F98" s="590">
        <f>$E$37*J74*I74</f>
        <v>379379.80500855396</v>
      </c>
      <c r="G98" s="590">
        <f>E43*K74*L74</f>
        <v>1779777.8053529069</v>
      </c>
      <c r="H98" s="590">
        <f>E43*N74*M74</f>
        <v>1926050.6701327695</v>
      </c>
      <c r="I98" s="590">
        <f>E46*P74*O74</f>
        <v>1521220.876954464</v>
      </c>
      <c r="J98" s="590">
        <f>E49*R74*Q74</f>
        <v>460274.31656209222</v>
      </c>
      <c r="K98" s="590">
        <f>E52*T74*S74</f>
        <v>1308681.6712708774</v>
      </c>
      <c r="L98" s="590">
        <f>E55*V74*U74</f>
        <v>484577.03088367335</v>
      </c>
      <c r="M98" s="591">
        <f>E58*X74*W74</f>
        <v>525649.64358420391</v>
      </c>
      <c r="N98" s="592"/>
      <c r="O98" s="593"/>
      <c r="P98" s="594"/>
      <c r="Q98" s="593"/>
      <c r="R98" s="594"/>
      <c r="S98" s="593"/>
      <c r="T98" s="594"/>
      <c r="U98" s="593"/>
      <c r="V98" s="594"/>
      <c r="W98" s="593"/>
      <c r="X98" s="595"/>
    </row>
    <row r="99" spans="1:24" s="26" customFormat="1" ht="20.149999999999999" customHeight="1" x14ac:dyDescent="0.3">
      <c r="A99" s="868"/>
      <c r="B99" s="589" t="s">
        <v>13</v>
      </c>
      <c r="C99" s="590">
        <f>E28*D75*C75</f>
        <v>2198820.7350848657</v>
      </c>
      <c r="D99" s="590">
        <f>E31*F75*E75</f>
        <v>19265069.781840719</v>
      </c>
      <c r="E99" s="590">
        <f>E34*H75*G75</f>
        <v>7158374.8274622532</v>
      </c>
      <c r="F99" s="590">
        <f>$E$37*J75*I75</f>
        <v>3913375.9729447532</v>
      </c>
      <c r="G99" s="590">
        <f>E43*K75*L75</f>
        <v>18358751.859475937</v>
      </c>
      <c r="H99" s="590">
        <f>E43*N75*M75</f>
        <v>19867584.715010785</v>
      </c>
      <c r="I99" s="590">
        <f>E46*P75*O75</f>
        <v>15691687.197955407</v>
      </c>
      <c r="J99" s="590">
        <f>E49*R75*Q75</f>
        <v>4747818.4859023942</v>
      </c>
      <c r="K99" s="590">
        <f>E52*T75*S75</f>
        <v>13499304.235419599</v>
      </c>
      <c r="L99" s="590">
        <f>E55*V75*U75</f>
        <v>4998505.6786518134</v>
      </c>
      <c r="M99" s="591">
        <f>E58*X75*W75</f>
        <v>5422177.6125985822</v>
      </c>
      <c r="N99" s="592"/>
      <c r="O99" s="593"/>
      <c r="P99" s="594"/>
      <c r="Q99" s="593"/>
      <c r="R99" s="594"/>
      <c r="S99" s="593"/>
      <c r="T99" s="594"/>
      <c r="U99" s="593"/>
      <c r="V99" s="594"/>
      <c r="W99" s="593"/>
      <c r="X99" s="595"/>
    </row>
    <row r="100" spans="1:24" s="26" customFormat="1" ht="20.149999999999999" customHeight="1" x14ac:dyDescent="0.3">
      <c r="A100" s="868" t="s">
        <v>347</v>
      </c>
      <c r="B100" s="589" t="s">
        <v>19</v>
      </c>
      <c r="C100" s="590">
        <f>$F$27*$C$76*D76</f>
        <v>81867990.460156366</v>
      </c>
      <c r="D100" s="590">
        <f>$F$30*$E$76*F76</f>
        <v>1063500871.0150608</v>
      </c>
      <c r="E100" s="590">
        <f>$G$76*H76*$F$33</f>
        <v>14635603.010239298</v>
      </c>
      <c r="F100" s="590">
        <f>$I$76*J76*$F$36</f>
        <v>137391755.76010948</v>
      </c>
      <c r="G100" s="590">
        <f>$F$39*$K$76*L76</f>
        <v>739399438.5089494</v>
      </c>
      <c r="H100" s="590">
        <f>$F$42*$M$76*N76</f>
        <v>585899014.41502488</v>
      </c>
      <c r="I100" s="590">
        <f>$F$45*$O$76*P76</f>
        <v>312477792.34718329</v>
      </c>
      <c r="J100" s="590">
        <f>$F$48*$M$76*N76</f>
        <v>139428750.2618582</v>
      </c>
      <c r="K100" s="590">
        <f>$F$51*T76*$S$76</f>
        <v>416664410.6283471</v>
      </c>
      <c r="L100" s="590">
        <f>$F$54*V76*$U$76</f>
        <v>260448493.10561094</v>
      </c>
      <c r="M100" s="591">
        <f>$F$57*X76*$W$76</f>
        <v>98206819.877671167</v>
      </c>
      <c r="N100" s="592"/>
      <c r="O100" s="593"/>
      <c r="P100" s="594"/>
      <c r="Q100" s="593"/>
      <c r="R100" s="594"/>
      <c r="S100" s="593"/>
      <c r="T100" s="594"/>
      <c r="U100" s="593"/>
      <c r="V100" s="594"/>
      <c r="W100" s="593"/>
      <c r="X100" s="595"/>
    </row>
    <row r="101" spans="1:24" s="26" customFormat="1" ht="20.149999999999999" customHeight="1" x14ac:dyDescent="0.3">
      <c r="A101" s="868"/>
      <c r="B101" s="589" t="s">
        <v>95</v>
      </c>
      <c r="C101" s="590">
        <f>$F$27*$C$76*D77</f>
        <v>3125455.6085220492</v>
      </c>
      <c r="D101" s="590">
        <f>$F$30*$E$76*F77</f>
        <v>40601030.308662556</v>
      </c>
      <c r="E101" s="590">
        <f>$G$76*H77*$F$33</f>
        <v>152664831.13339627</v>
      </c>
      <c r="F101" s="590">
        <f>$I$76*J77*$F$36</f>
        <v>5245173.7387411799</v>
      </c>
      <c r="G101" s="590">
        <f>$F$39*$K$76*L77</f>
        <v>28227883.804605555</v>
      </c>
      <c r="H101" s="590">
        <f>$F$42*$M$76*N77</f>
        <v>22367733.107143898</v>
      </c>
      <c r="I101" s="590">
        <f>$F$45*$O$76*P77</f>
        <v>11929393.443526657</v>
      </c>
      <c r="J101" s="590">
        <f>$F$48*$M$76*N77</f>
        <v>5322939.6134650465</v>
      </c>
      <c r="K101" s="590">
        <f>$F$51*T77*$S$76</f>
        <v>15906902.218440188</v>
      </c>
      <c r="L101" s="590">
        <f>$F$54*V77*$U$76</f>
        <v>9943082.7473921739</v>
      </c>
      <c r="M101" s="591">
        <f>$F$57*X77*$W$76</f>
        <v>10641691.88034842</v>
      </c>
      <c r="N101" s="592"/>
      <c r="O101" s="593"/>
      <c r="P101" s="594"/>
      <c r="Q101" s="593"/>
      <c r="R101" s="594"/>
      <c r="S101" s="593"/>
      <c r="T101" s="594"/>
      <c r="U101" s="593"/>
      <c r="V101" s="594"/>
      <c r="W101" s="593"/>
      <c r="X101" s="595"/>
    </row>
    <row r="102" spans="1:24" s="26" customFormat="1" ht="20.149999999999999" customHeight="1" x14ac:dyDescent="0.3">
      <c r="A102" s="868"/>
      <c r="B102" s="589" t="s">
        <v>346</v>
      </c>
      <c r="C102" s="590">
        <f>$F$27*$C$76*D78</f>
        <v>0</v>
      </c>
      <c r="D102" s="590">
        <f>$F$30*$E$76*F78</f>
        <v>0</v>
      </c>
      <c r="E102" s="590">
        <f>$G$76*H78*$F$33</f>
        <v>45505730.268230222</v>
      </c>
      <c r="F102" s="590">
        <f>$I$76*J78*$F$36</f>
        <v>0</v>
      </c>
      <c r="G102" s="590">
        <f>$F$39*$K$76*L78</f>
        <v>0</v>
      </c>
      <c r="H102" s="590">
        <f>$F$42*$M$76*N78</f>
        <v>0</v>
      </c>
      <c r="I102" s="590">
        <f>$F$45*$O$76*P78</f>
        <v>0</v>
      </c>
      <c r="J102" s="590">
        <f>$F$48*$M$76*N78</f>
        <v>0</v>
      </c>
      <c r="K102" s="590">
        <f>$F$51*T78*$S$76</f>
        <v>0</v>
      </c>
      <c r="L102" s="590">
        <f>$F$54*V78*$U$76</f>
        <v>0</v>
      </c>
      <c r="M102" s="591">
        <f>$F$57*X78*$W$76</f>
        <v>2062027.842284898</v>
      </c>
      <c r="N102" s="592"/>
      <c r="O102" s="593"/>
      <c r="P102" s="594"/>
      <c r="Q102" s="593"/>
      <c r="R102" s="594"/>
      <c r="S102" s="593"/>
      <c r="T102" s="594"/>
      <c r="U102" s="593"/>
      <c r="V102" s="594"/>
      <c r="W102" s="593"/>
      <c r="X102" s="595"/>
    </row>
    <row r="103" spans="1:24" s="26" customFormat="1" ht="20.149999999999999" customHeight="1" x14ac:dyDescent="0.3">
      <c r="A103" s="868"/>
      <c r="B103" s="589" t="s">
        <v>31</v>
      </c>
      <c r="C103" s="590">
        <f>$F$27*$C$76*D79</f>
        <v>0</v>
      </c>
      <c r="D103" s="590">
        <f>$F$30*$E$76*F79</f>
        <v>0</v>
      </c>
      <c r="E103" s="590">
        <f>$G$76*H79*$F$33</f>
        <v>42152319.026370309</v>
      </c>
      <c r="F103" s="590">
        <f>$I$76*J79*$F$36</f>
        <v>0</v>
      </c>
      <c r="G103" s="590">
        <f>$F$39*$K$76*L79</f>
        <v>0</v>
      </c>
      <c r="H103" s="590">
        <f>$F$42*$M$76*N79</f>
        <v>0</v>
      </c>
      <c r="I103" s="590">
        <f>$F$45*$O$76*P79</f>
        <v>0</v>
      </c>
      <c r="J103" s="590">
        <f>$F$48*$M$76*N79</f>
        <v>0</v>
      </c>
      <c r="K103" s="590">
        <f>$F$51*T79*$S$76</f>
        <v>0</v>
      </c>
      <c r="L103" s="590">
        <f>$F$54*V79*$U$76</f>
        <v>0</v>
      </c>
      <c r="M103" s="591">
        <f>$F$57*X79*$W$76</f>
        <v>1910072.7520888417</v>
      </c>
      <c r="N103" s="592"/>
      <c r="O103" s="593"/>
      <c r="P103" s="594"/>
      <c r="Q103" s="593"/>
      <c r="R103" s="594"/>
      <c r="S103" s="593"/>
      <c r="T103" s="594"/>
      <c r="U103" s="593"/>
      <c r="V103" s="594"/>
      <c r="W103" s="593"/>
      <c r="X103" s="595"/>
    </row>
    <row r="104" spans="1:24" s="26" customFormat="1" ht="20.149999999999999" customHeight="1" x14ac:dyDescent="0.3">
      <c r="A104" s="868"/>
      <c r="B104" s="589" t="s">
        <v>13</v>
      </c>
      <c r="C104" s="590">
        <f>$F$27*$C$76*D80</f>
        <v>4147635.0601584874</v>
      </c>
      <c r="D104" s="590">
        <f>$F$30*$E$76*F80</f>
        <v>53879586.812112041</v>
      </c>
      <c r="E104" s="590">
        <f>$G$76*H80*$F$33</f>
        <v>5471945.3864576742</v>
      </c>
      <c r="F104" s="590">
        <f>$I$76*J80*$F$36</f>
        <v>6960606.4588173535</v>
      </c>
      <c r="G104" s="590">
        <f>$F$39*$K$76*L80</f>
        <v>37459805.931278512</v>
      </c>
      <c r="H104" s="590">
        <f>$F$42*$M$76*N80</f>
        <v>29683094.457811844</v>
      </c>
      <c r="I104" s="590">
        <f>$F$45*$O$76*P80</f>
        <v>15830898.496169409</v>
      </c>
      <c r="J104" s="590">
        <f>$F$48*$M$76*N80</f>
        <v>7063805.642836838</v>
      </c>
      <c r="K104" s="590">
        <f>$F$51*T80*$S$76</f>
        <v>21109250.491295185</v>
      </c>
      <c r="L104" s="590">
        <f>$F$54*V80*$U$76</f>
        <v>13194965.398546251</v>
      </c>
      <c r="M104" s="591">
        <f>$F$57*X80*$W$76</f>
        <v>5189755.1440338343</v>
      </c>
      <c r="N104" s="592"/>
      <c r="O104" s="593"/>
      <c r="P104" s="594"/>
      <c r="Q104" s="593"/>
      <c r="R104" s="594"/>
      <c r="S104" s="593"/>
      <c r="T104" s="594"/>
      <c r="U104" s="593"/>
      <c r="V104" s="594"/>
      <c r="W104" s="593"/>
      <c r="X104" s="595"/>
    </row>
    <row r="105" spans="1:24" s="26" customFormat="1" ht="20.149999999999999" customHeight="1" x14ac:dyDescent="0.3">
      <c r="A105" s="583" t="s">
        <v>348</v>
      </c>
      <c r="B105" s="589" t="s">
        <v>19</v>
      </c>
      <c r="C105" s="590">
        <f>$F$27*$C$81*D81</f>
        <v>28307977.92272066</v>
      </c>
      <c r="D105" s="590">
        <f>$F$30*$E$81*F81</f>
        <v>367719532.84461194</v>
      </c>
      <c r="E105" s="590">
        <f>$G$81*H81*$F$33</f>
        <v>84285681.73296769</v>
      </c>
      <c r="F105" s="590">
        <f>$I$81*J81*$F$36</f>
        <v>47505122.219405867</v>
      </c>
      <c r="G105" s="590">
        <f>$F$39*$K$81*L81</f>
        <v>338898678.26101941</v>
      </c>
      <c r="H105" s="590">
        <f>$F$42*$M$81*N81</f>
        <v>202582646.15011981</v>
      </c>
      <c r="I105" s="590">
        <f>$F$45*$O$81*P81</f>
        <v>170533154.69662884</v>
      </c>
      <c r="J105" s="590">
        <f>$F$48*$M$81*N81</f>
        <v>48209408.929715894</v>
      </c>
      <c r="K105" s="590">
        <f>$F$51*T81*$S$81</f>
        <v>144067172.9304527</v>
      </c>
      <c r="L105" s="590">
        <f>$F$54*V81*$U$81</f>
        <v>90053986.734148934</v>
      </c>
      <c r="M105" s="591">
        <f>$F$57*X81*$W$81</f>
        <v>40756666.883323759</v>
      </c>
      <c r="N105" s="596"/>
      <c r="O105" s="593"/>
      <c r="P105" s="597"/>
      <c r="Q105" s="593"/>
      <c r="R105" s="597"/>
      <c r="S105" s="593"/>
      <c r="T105" s="597"/>
      <c r="U105" s="593"/>
      <c r="V105" s="597"/>
      <c r="W105" s="593"/>
      <c r="X105" s="597"/>
    </row>
    <row r="106" spans="1:24" s="26" customFormat="1" ht="20.149999999999999" customHeight="1" x14ac:dyDescent="0.3">
      <c r="A106" s="586" t="s">
        <v>97</v>
      </c>
      <c r="B106" s="589" t="s">
        <v>19</v>
      </c>
      <c r="C106" s="590">
        <f>$F$27*$C$82</f>
        <v>56674494.013605244</v>
      </c>
      <c r="D106" s="590">
        <f>$F$30*$E$82</f>
        <v>736215200.58142459</v>
      </c>
      <c r="E106" s="590">
        <f>$G$82*$F$33</f>
        <v>166892927.10903099</v>
      </c>
      <c r="F106" s="590">
        <f>$I$82*$F$36</f>
        <v>95110395.642563969</v>
      </c>
      <c r="G106" s="590">
        <f>$F$39*$K$82</f>
        <v>575810918.73909724</v>
      </c>
      <c r="H106" s="590">
        <f>$F$42*$M$82</f>
        <v>405592538.57245213</v>
      </c>
      <c r="I106" s="590">
        <f>$F$45*$O$82</f>
        <v>256002930.9042336</v>
      </c>
      <c r="J106" s="590">
        <f>$F$48*$M$82</f>
        <v>96520491.377090976</v>
      </c>
      <c r="K106" s="590">
        <f>$F$51*$S$82</f>
        <v>288438512.0624879</v>
      </c>
      <c r="L106" s="590">
        <f>$F$54*U82</f>
        <v>180297503.62737116</v>
      </c>
      <c r="M106" s="591">
        <f>$F$57*$W$82</f>
        <v>77257677.690485001</v>
      </c>
      <c r="N106" s="596"/>
      <c r="O106" s="593"/>
      <c r="P106" s="597"/>
      <c r="Q106" s="593"/>
      <c r="R106" s="597"/>
      <c r="S106" s="593"/>
      <c r="T106" s="597"/>
      <c r="U106" s="593"/>
      <c r="V106" s="597"/>
      <c r="W106" s="593"/>
      <c r="X106" s="597"/>
    </row>
    <row r="107" spans="1:24" s="26" customFormat="1" ht="20.149999999999999" customHeight="1" x14ac:dyDescent="0.3">
      <c r="A107" s="871" t="s">
        <v>328</v>
      </c>
      <c r="B107" s="589" t="s">
        <v>19</v>
      </c>
      <c r="C107" s="590">
        <f>$F$27*$C$83*D83</f>
        <v>30002124.116308305</v>
      </c>
      <c r="D107" s="590">
        <f>$F$30*$E$83*F83</f>
        <v>353657544.13100201</v>
      </c>
      <c r="E107" s="590">
        <f>$G$83*$F$33*H83</f>
        <v>76332426.8084528</v>
      </c>
      <c r="F107" s="590">
        <f>$I$83*$F$36*J83</f>
        <v>50353793.320045419</v>
      </c>
      <c r="G107" s="590">
        <f>$F$39*$K$83*L83</f>
        <v>295864508.02308941</v>
      </c>
      <c r="H107" s="590">
        <f>$F$42*$M$83*N83</f>
        <v>205804082.86317608</v>
      </c>
      <c r="I107" s="590">
        <f>$F$45*$O$83*P83</f>
        <v>163490235.02400982</v>
      </c>
      <c r="J107" s="590">
        <f>$F$48*$M$83*N83</f>
        <v>48976027.210167445</v>
      </c>
      <c r="K107" s="590">
        <f>$F$51*T83*$S$83</f>
        <v>109736444.75793187</v>
      </c>
      <c r="L107" s="590">
        <f>$F$54*V83*$U$83</f>
        <v>70785970.484123796</v>
      </c>
      <c r="M107" s="591">
        <f>$F$57*X83*$W$83</f>
        <v>37606813.787031226</v>
      </c>
      <c r="N107" s="592"/>
      <c r="O107" s="593"/>
      <c r="P107" s="594"/>
      <c r="Q107" s="593"/>
      <c r="R107" s="594"/>
      <c r="S107" s="593"/>
      <c r="T107" s="594"/>
      <c r="U107" s="593"/>
      <c r="V107" s="594"/>
      <c r="W107" s="593"/>
      <c r="X107" s="595"/>
    </row>
    <row r="108" spans="1:24" s="26" customFormat="1" ht="20.149999999999999" customHeight="1" x14ac:dyDescent="0.3">
      <c r="A108" s="871"/>
      <c r="B108" s="589" t="s">
        <v>20</v>
      </c>
      <c r="C108" s="590">
        <f>$F$27*$C$83*D84</f>
        <v>1887651.4868887803</v>
      </c>
      <c r="D108" s="590">
        <f>$F$30*$E$83*F84</f>
        <v>22251326.391861275</v>
      </c>
      <c r="E108" s="590">
        <f>$G$83*$F$33*H84</f>
        <v>4802662.2685831543</v>
      </c>
      <c r="F108" s="590">
        <f>$I$83*$F$36*J84</f>
        <v>3168145.8767853156</v>
      </c>
      <c r="G108" s="590">
        <f>$F$39*$K$83*L84</f>
        <v>18615120.3191939</v>
      </c>
      <c r="H108" s="590">
        <f>$F$42*$M$83*N84</f>
        <v>12948723.692063788</v>
      </c>
      <c r="I108" s="590">
        <f>$F$45*$O$83*P84</f>
        <v>10286432.855095023</v>
      </c>
      <c r="J108" s="590">
        <f>$F$48*$M$83*N84</f>
        <v>3081459.9742468344</v>
      </c>
      <c r="K108" s="590">
        <f>$F$51*T84*$S$83</f>
        <v>6904366.9219359653</v>
      </c>
      <c r="L108" s="590">
        <f>$F$54*V84*$U$83</f>
        <v>4453691.8817245876</v>
      </c>
      <c r="M108" s="591">
        <f>$F$57*X84*$W$83</f>
        <v>2366133.2606597822</v>
      </c>
      <c r="N108" s="592"/>
      <c r="O108" s="593"/>
      <c r="P108" s="594"/>
      <c r="Q108" s="593"/>
      <c r="R108" s="594"/>
      <c r="S108" s="593"/>
      <c r="T108" s="594"/>
      <c r="U108" s="593"/>
      <c r="V108" s="594"/>
      <c r="W108" s="593"/>
      <c r="X108" s="595"/>
    </row>
    <row r="109" spans="1:24" s="514" customFormat="1" ht="20.149999999999999" customHeight="1" x14ac:dyDescent="0.3">
      <c r="A109" s="586" t="s">
        <v>16</v>
      </c>
      <c r="B109" s="598"/>
      <c r="C109" s="599">
        <f>SUM(C90:C108)</f>
        <v>459582807.64639753</v>
      </c>
      <c r="D109" s="599">
        <f t="shared" ref="D109:M109" si="6">SUM(D90:D108)</f>
        <v>6820323712.0226231</v>
      </c>
      <c r="E109" s="599">
        <f t="shared" si="6"/>
        <v>1498473561.1116331</v>
      </c>
      <c r="F109" s="599">
        <f t="shared" si="6"/>
        <v>901534706.08078146</v>
      </c>
      <c r="G109" s="599">
        <f t="shared" si="6"/>
        <v>4798441335.1923475</v>
      </c>
      <c r="H109" s="599">
        <f t="shared" si="6"/>
        <v>3873597685.5921173</v>
      </c>
      <c r="I109" s="599">
        <f t="shared" si="6"/>
        <v>2819088837.295239</v>
      </c>
      <c r="J109" s="599">
        <f t="shared" si="6"/>
        <v>1007595520.1521758</v>
      </c>
      <c r="K109" s="599">
        <f t="shared" si="6"/>
        <v>2654536672.3902793</v>
      </c>
      <c r="L109" s="599">
        <f t="shared" si="6"/>
        <v>1670217368.390455</v>
      </c>
      <c r="M109" s="599">
        <f t="shared" si="6"/>
        <v>741682551.72774363</v>
      </c>
      <c r="N109" s="600"/>
      <c r="O109" s="601"/>
      <c r="P109" s="600"/>
      <c r="Q109" s="601"/>
      <c r="R109" s="600"/>
      <c r="S109" s="601"/>
      <c r="T109" s="600"/>
      <c r="U109" s="601"/>
      <c r="V109" s="600"/>
      <c r="W109" s="601"/>
      <c r="X109" s="602"/>
    </row>
    <row r="110" spans="1:24" s="26" customFormat="1" ht="14.25" customHeight="1" x14ac:dyDescent="0.3"/>
    <row r="111" spans="1:24" s="26" customFormat="1" ht="23.15" customHeight="1" x14ac:dyDescent="0.3">
      <c r="A111" s="507" t="s">
        <v>373</v>
      </c>
    </row>
    <row r="112" spans="1:24" s="26" customFormat="1" ht="50.25" customHeight="1" x14ac:dyDescent="0.3">
      <c r="A112" s="869" t="s">
        <v>322</v>
      </c>
      <c r="B112" s="869" t="s">
        <v>27</v>
      </c>
      <c r="C112" s="869" t="s">
        <v>362</v>
      </c>
      <c r="D112" s="869" t="s">
        <v>371</v>
      </c>
      <c r="E112" s="869" t="s">
        <v>375</v>
      </c>
      <c r="F112" s="870"/>
      <c r="G112" s="869" t="s">
        <v>378</v>
      </c>
      <c r="H112" s="837"/>
    </row>
    <row r="113" spans="1:8" s="26" customFormat="1" ht="22" customHeight="1" x14ac:dyDescent="0.3">
      <c r="A113" s="870"/>
      <c r="B113" s="870"/>
      <c r="C113" s="870"/>
      <c r="D113" s="870"/>
      <c r="E113" s="870"/>
      <c r="F113" s="870"/>
      <c r="G113" s="620" t="s">
        <v>339</v>
      </c>
      <c r="H113" s="620" t="s">
        <v>24</v>
      </c>
    </row>
    <row r="114" spans="1:8" s="26" customFormat="1" ht="20.149999999999999" customHeight="1" x14ac:dyDescent="0.3">
      <c r="A114" s="858" t="s">
        <v>329</v>
      </c>
      <c r="B114" s="589" t="s">
        <v>19</v>
      </c>
      <c r="C114" s="482">
        <f t="shared" ref="C114:C132" si="7">SUM(C90:M90)</f>
        <v>6463018429.2346735</v>
      </c>
      <c r="D114" s="603">
        <f>C114/(C114+C119+C124+C129+C130+C131)</f>
        <v>0.37566010309573628</v>
      </c>
      <c r="E114" s="480">
        <f>D114*A20*B301*1000</f>
        <v>4646416184.7712326</v>
      </c>
      <c r="F114" s="833">
        <f>SUM(E114:E118)</f>
        <v>10805088868.028072</v>
      </c>
      <c r="G114" s="482">
        <f>E114/B301/1000</f>
        <v>1290671162.4364536</v>
      </c>
      <c r="H114" s="511" t="s">
        <v>14</v>
      </c>
    </row>
    <row r="115" spans="1:8" s="26" customFormat="1" ht="20.149999999999999" customHeight="1" x14ac:dyDescent="0.3">
      <c r="A115" s="859"/>
      <c r="B115" s="589" t="s">
        <v>95</v>
      </c>
      <c r="C115" s="482">
        <f t="shared" si="7"/>
        <v>6959422475.2609625</v>
      </c>
      <c r="D115" s="604">
        <f>C115/(C115+C120+C125+C132)</f>
        <v>0.87058837656404209</v>
      </c>
      <c r="E115" s="480">
        <f>D115*A17*B302*1000</f>
        <v>4861354894.4495373</v>
      </c>
      <c r="F115" s="834"/>
      <c r="G115" s="482">
        <f>E115/B302/1000</f>
        <v>127930391.95919836</v>
      </c>
      <c r="H115" s="511" t="s">
        <v>581</v>
      </c>
    </row>
    <row r="116" spans="1:8" s="26" customFormat="1" ht="20.149999999999999" customHeight="1" x14ac:dyDescent="0.3">
      <c r="A116" s="859"/>
      <c r="B116" s="589" t="s">
        <v>346</v>
      </c>
      <c r="C116" s="482">
        <f t="shared" si="7"/>
        <v>1026271445.7360367</v>
      </c>
      <c r="D116" s="605">
        <f>C116/(C116+C121+C126)</f>
        <v>0.7302699476986465</v>
      </c>
      <c r="E116" s="606">
        <f>C116</f>
        <v>1026271445.7360367</v>
      </c>
      <c r="F116" s="834"/>
      <c r="G116" s="482">
        <f>E116/B303/1000</f>
        <v>26532353.819442522</v>
      </c>
      <c r="H116" s="511" t="s">
        <v>337</v>
      </c>
    </row>
    <row r="117" spans="1:8" s="26" customFormat="1" ht="20.149999999999999" customHeight="1" x14ac:dyDescent="0.3">
      <c r="A117" s="859"/>
      <c r="B117" s="589" t="s">
        <v>31</v>
      </c>
      <c r="C117" s="482">
        <f t="shared" si="7"/>
        <v>14791102.862477969</v>
      </c>
      <c r="D117" s="607">
        <f>C117/(C117+C122+C127)</f>
        <v>0.21125959717449078</v>
      </c>
      <c r="E117" s="606">
        <f>C117</f>
        <v>14791102.862477969</v>
      </c>
      <c r="F117" s="834"/>
      <c r="G117" s="482">
        <f>E117/B304/1000</f>
        <v>357273.01600188331</v>
      </c>
      <c r="H117" s="511" t="s">
        <v>337</v>
      </c>
    </row>
    <row r="118" spans="1:8" s="26" customFormat="1" ht="20.149999999999999" customHeight="1" x14ac:dyDescent="0.3">
      <c r="A118" s="860"/>
      <c r="B118" s="589" t="s">
        <v>13</v>
      </c>
      <c r="C118" s="482">
        <f t="shared" si="7"/>
        <v>256255240.20878702</v>
      </c>
      <c r="D118" s="608">
        <f>C118/(C118+C123+C128)</f>
        <v>0.44849416319120683</v>
      </c>
      <c r="E118" s="606">
        <f>C118</f>
        <v>256255240.20878702</v>
      </c>
      <c r="F118" s="835"/>
      <c r="G118" s="482">
        <f>E118/B305/1000</f>
        <v>10037416.381072739</v>
      </c>
      <c r="H118" s="511" t="s">
        <v>337</v>
      </c>
    </row>
    <row r="119" spans="1:8" s="26" customFormat="1" ht="20.149999999999999" customHeight="1" x14ac:dyDescent="0.3">
      <c r="A119" s="858" t="s">
        <v>330</v>
      </c>
      <c r="B119" s="589" t="s">
        <v>19</v>
      </c>
      <c r="C119" s="482">
        <f t="shared" si="7"/>
        <v>951148323.58430374</v>
      </c>
      <c r="D119" s="603">
        <f>C119/(C114+C119+C124+C129+C130+C131)</f>
        <v>5.5285077894993317E-2</v>
      </c>
      <c r="E119" s="480">
        <f>D119*A20*B301*1000</f>
        <v>683802934.06396306</v>
      </c>
      <c r="F119" s="833">
        <f>SUM(E119:E123)</f>
        <v>1587074652.0415955</v>
      </c>
      <c r="G119" s="482">
        <f>E119/B301/1000</f>
        <v>189945259.46221197</v>
      </c>
      <c r="H119" s="511" t="s">
        <v>14</v>
      </c>
    </row>
    <row r="120" spans="1:8" s="26" customFormat="1" ht="20.149999999999999" customHeight="1" x14ac:dyDescent="0.3">
      <c r="A120" s="859"/>
      <c r="B120" s="589" t="s">
        <v>95</v>
      </c>
      <c r="C120" s="482">
        <f t="shared" si="7"/>
        <v>637765616.61821914</v>
      </c>
      <c r="D120" s="604">
        <f>C120/(C115+C120+C125+C132)</f>
        <v>7.9781236844541581E-2</v>
      </c>
      <c r="E120" s="480">
        <f>D120*A17*B302*1000</f>
        <v>445497455.12358034</v>
      </c>
      <c r="F120" s="834"/>
      <c r="G120" s="482">
        <f>E120/B302/1000</f>
        <v>11723617.240094218</v>
      </c>
      <c r="H120" s="511" t="s">
        <v>581</v>
      </c>
    </row>
    <row r="121" spans="1:8" s="26" customFormat="1" ht="20.149999999999999" customHeight="1" x14ac:dyDescent="0.3">
      <c r="A121" s="859"/>
      <c r="B121" s="589" t="s">
        <v>346</v>
      </c>
      <c r="C121" s="482">
        <f t="shared" si="7"/>
        <v>331492412.18146837</v>
      </c>
      <c r="D121" s="605">
        <f>C121/(C116+C121+C126)</f>
        <v>0.23588198571835084</v>
      </c>
      <c r="E121" s="606">
        <f>C121</f>
        <v>331492412.18146837</v>
      </c>
      <c r="F121" s="834"/>
      <c r="G121" s="482">
        <f>E121/B303/1000</f>
        <v>8570124.4100689851</v>
      </c>
      <c r="H121" s="511" t="s">
        <v>337</v>
      </c>
    </row>
    <row r="122" spans="1:8" s="26" customFormat="1" ht="20.149999999999999" customHeight="1" x14ac:dyDescent="0.3">
      <c r="A122" s="859"/>
      <c r="B122" s="589" t="s">
        <v>31</v>
      </c>
      <c r="C122" s="482">
        <f t="shared" si="7"/>
        <v>11160379.570236329</v>
      </c>
      <c r="D122" s="607">
        <f>C122/(C117+C122+C127)</f>
        <v>0.15940239982399454</v>
      </c>
      <c r="E122" s="606">
        <f>C122</f>
        <v>11160379.570236329</v>
      </c>
      <c r="F122" s="834"/>
      <c r="G122" s="482">
        <f>E122/B304/1000</f>
        <v>269574.38575450069</v>
      </c>
      <c r="H122" s="511" t="s">
        <v>337</v>
      </c>
    </row>
    <row r="123" spans="1:8" s="26" customFormat="1" ht="20.149999999999999" customHeight="1" x14ac:dyDescent="0.3">
      <c r="A123" s="860"/>
      <c r="B123" s="589" t="s">
        <v>13</v>
      </c>
      <c r="C123" s="482">
        <f t="shared" si="7"/>
        <v>115121471.10234709</v>
      </c>
      <c r="D123" s="608">
        <f>C123/(C118+C123+C128)</f>
        <v>0.20148391035953309</v>
      </c>
      <c r="E123" s="606">
        <f>C123</f>
        <v>115121471.10234709</v>
      </c>
      <c r="F123" s="835"/>
      <c r="G123" s="482">
        <f>E123/B305/1000</f>
        <v>4509262.4795278925</v>
      </c>
      <c r="H123" s="511" t="s">
        <v>337</v>
      </c>
    </row>
    <row r="124" spans="1:8" s="26" customFormat="1" ht="20.149999999999999" customHeight="1" x14ac:dyDescent="0.3">
      <c r="A124" s="858" t="s">
        <v>347</v>
      </c>
      <c r="B124" s="589" t="s">
        <v>19</v>
      </c>
      <c r="C124" s="482">
        <f t="shared" si="7"/>
        <v>3849920939.3902102</v>
      </c>
      <c r="D124" s="603">
        <f>C124/(C114+C119+C124+C129+C130+C131)</f>
        <v>0.22377496100889521</v>
      </c>
      <c r="E124" s="480">
        <f>D124*A20*B301*1000</f>
        <v>2767798847.9742908</v>
      </c>
      <c r="F124" s="833">
        <f>SUM(E124:E128)</f>
        <v>3273153383.4956703</v>
      </c>
      <c r="G124" s="482">
        <f>E124/B301/1000</f>
        <v>768833013.3261919</v>
      </c>
      <c r="H124" s="511" t="s">
        <v>14</v>
      </c>
    </row>
    <row r="125" spans="1:8" s="26" customFormat="1" ht="20.149999999999999" customHeight="1" x14ac:dyDescent="0.3">
      <c r="A125" s="859"/>
      <c r="B125" s="589" t="s">
        <v>95</v>
      </c>
      <c r="C125" s="482">
        <f t="shared" si="7"/>
        <v>305976117.60424399</v>
      </c>
      <c r="D125" s="604">
        <f>C125/(C115+C120+C125+C132)</f>
        <v>3.8276057020443864E-2</v>
      </c>
      <c r="E125" s="480">
        <f>D125*A17*B302*1000</f>
        <v>213733036.35288826</v>
      </c>
      <c r="F125" s="834"/>
      <c r="G125" s="482">
        <f>E125/B302/1000</f>
        <v>5624553.5882339021</v>
      </c>
      <c r="H125" s="511" t="s">
        <v>581</v>
      </c>
    </row>
    <row r="126" spans="1:8" s="26" customFormat="1" ht="20.149999999999999" customHeight="1" x14ac:dyDescent="0.3">
      <c r="A126" s="859"/>
      <c r="B126" s="589" t="s">
        <v>346</v>
      </c>
      <c r="C126" s="482">
        <f t="shared" si="7"/>
        <v>47567758.110515118</v>
      </c>
      <c r="D126" s="605">
        <f>C126/(C116+C121+C126)</f>
        <v>3.3848066583002635E-2</v>
      </c>
      <c r="E126" s="606">
        <f>C126</f>
        <v>47567758.110515118</v>
      </c>
      <c r="F126" s="834"/>
      <c r="G126" s="482">
        <f>E126/B303/1000</f>
        <v>1229776.5798995635</v>
      </c>
      <c r="H126" s="511" t="s">
        <v>337</v>
      </c>
    </row>
    <row r="127" spans="1:8" s="26" customFormat="1" ht="20.149999999999999" customHeight="1" x14ac:dyDescent="0.3">
      <c r="A127" s="859"/>
      <c r="B127" s="589" t="s">
        <v>31</v>
      </c>
      <c r="C127" s="482">
        <f t="shared" si="7"/>
        <v>44062391.778459154</v>
      </c>
      <c r="D127" s="607">
        <f>C127/(C117+C122+C127)</f>
        <v>0.62933800300151477</v>
      </c>
      <c r="E127" s="606">
        <f>C127</f>
        <v>44062391.778459154</v>
      </c>
      <c r="F127" s="834"/>
      <c r="G127" s="482">
        <f>E127/B304/1000</f>
        <v>1064308.9801560182</v>
      </c>
      <c r="H127" s="511" t="s">
        <v>337</v>
      </c>
    </row>
    <row r="128" spans="1:8" s="26" customFormat="1" ht="20.149999999999999" customHeight="1" x14ac:dyDescent="0.3">
      <c r="A128" s="860"/>
      <c r="B128" s="589" t="s">
        <v>13</v>
      </c>
      <c r="C128" s="482">
        <f t="shared" si="7"/>
        <v>199991349.27951741</v>
      </c>
      <c r="D128" s="608">
        <f>C128/(C118+C123+C128)</f>
        <v>0.35002192644926011</v>
      </c>
      <c r="E128" s="606">
        <f>C128</f>
        <v>199991349.27951741</v>
      </c>
      <c r="F128" s="835"/>
      <c r="G128" s="482">
        <f>E128/B305/1000</f>
        <v>7833582.0321001727</v>
      </c>
      <c r="H128" s="511" t="s">
        <v>337</v>
      </c>
    </row>
    <row r="129" spans="1:8" s="26" customFormat="1" ht="26.15" customHeight="1" x14ac:dyDescent="0.3">
      <c r="A129" s="580" t="s">
        <v>348</v>
      </c>
      <c r="B129" s="589" t="s">
        <v>19</v>
      </c>
      <c r="C129" s="482">
        <f t="shared" si="7"/>
        <v>1562920029.3051152</v>
      </c>
      <c r="D129" s="603">
        <f>C129/(C114+C119+C124+C129+C130+C131)</f>
        <v>9.0844039169585986E-2</v>
      </c>
      <c r="E129" s="480">
        <f>D129*A20*B301*1000</f>
        <v>1123620023.5508773</v>
      </c>
      <c r="F129" s="480">
        <f>SUM(E129:E129)</f>
        <v>1123620023.5508773</v>
      </c>
      <c r="G129" s="482">
        <f>E129/B301/1000</f>
        <v>312116673.20857704</v>
      </c>
      <c r="H129" s="511" t="s">
        <v>14</v>
      </c>
    </row>
    <row r="130" spans="1:8" s="26" customFormat="1" ht="26.15" customHeight="1" x14ac:dyDescent="0.3">
      <c r="A130" s="609" t="s">
        <v>97</v>
      </c>
      <c r="B130" s="589" t="s">
        <v>19</v>
      </c>
      <c r="C130" s="482">
        <f t="shared" si="7"/>
        <v>2934813590.3198428</v>
      </c>
      <c r="D130" s="603">
        <f>C130/(C114+C119+C124+C129+C130+C131)</f>
        <v>0.17058474890297862</v>
      </c>
      <c r="E130" s="480">
        <f>D130*A20*B301*1000</f>
        <v>2109906619.4312949</v>
      </c>
      <c r="F130" s="480">
        <f>E130</f>
        <v>2109906619.4312949</v>
      </c>
      <c r="G130" s="482">
        <f>E130/B301/1000</f>
        <v>586085172.06424868</v>
      </c>
      <c r="H130" s="511" t="s">
        <v>14</v>
      </c>
    </row>
    <row r="131" spans="1:8" s="26" customFormat="1" ht="20.149999999999999" customHeight="1" x14ac:dyDescent="0.3">
      <c r="A131" s="874" t="s">
        <v>328</v>
      </c>
      <c r="B131" s="589" t="s">
        <v>19</v>
      </c>
      <c r="C131" s="482">
        <f t="shared" si="7"/>
        <v>1442609970.5253379</v>
      </c>
      <c r="D131" s="603">
        <f>C131/(C114+C119+C124+C129+C130+C131)</f>
        <v>8.3851069927810648E-2</v>
      </c>
      <c r="E131" s="480">
        <f>D131*A20*B301*1000</f>
        <v>1037126288.3981938</v>
      </c>
      <c r="F131" s="833">
        <f>E131+E132</f>
        <v>1100528726.4721875</v>
      </c>
      <c r="G131" s="482">
        <f>E131/B301/1000</f>
        <v>288090635.66616499</v>
      </c>
      <c r="H131" s="511" t="s">
        <v>14</v>
      </c>
    </row>
    <row r="132" spans="1:8" s="26" customFormat="1" ht="20.149999999999999" customHeight="1" x14ac:dyDescent="0.3">
      <c r="A132" s="875"/>
      <c r="B132" s="589" t="s">
        <v>20</v>
      </c>
      <c r="C132" s="482">
        <f t="shared" si="7"/>
        <v>90765714.929038391</v>
      </c>
      <c r="D132" s="604">
        <f>C132/(C115+C120+C125+C132)</f>
        <v>1.1354329570972498E-2</v>
      </c>
      <c r="E132" s="480">
        <f>D132*A17*B302*1000</f>
        <v>63402438.073993571</v>
      </c>
      <c r="F132" s="835"/>
      <c r="G132" s="482">
        <f>E132/B302/1000</f>
        <v>1668485.212473515</v>
      </c>
      <c r="H132" s="511" t="s">
        <v>581</v>
      </c>
    </row>
    <row r="133" spans="1:8" s="26" customFormat="1" ht="14.25" customHeight="1" x14ac:dyDescent="0.3"/>
    <row r="134" spans="1:8" s="26" customFormat="1" x14ac:dyDescent="0.3"/>
    <row r="135" spans="1:8" s="26" customFormat="1" ht="24" customHeight="1" x14ac:dyDescent="0.3">
      <c r="A135" s="507" t="s">
        <v>376</v>
      </c>
    </row>
    <row r="136" spans="1:8" s="26" customFormat="1" ht="37" customHeight="1" x14ac:dyDescent="0.3">
      <c r="A136" s="829" t="s">
        <v>380</v>
      </c>
      <c r="B136" s="829" t="s">
        <v>27</v>
      </c>
      <c r="C136" s="829" t="s">
        <v>362</v>
      </c>
      <c r="D136" s="829" t="s">
        <v>371</v>
      </c>
      <c r="E136" s="829" t="s">
        <v>375</v>
      </c>
      <c r="F136" s="837"/>
      <c r="G136" s="829" t="s">
        <v>378</v>
      </c>
      <c r="H136" s="837"/>
    </row>
    <row r="137" spans="1:8" s="26" customFormat="1" ht="25.5" customHeight="1" x14ac:dyDescent="0.3">
      <c r="A137" s="870"/>
      <c r="B137" s="870"/>
      <c r="C137" s="870"/>
      <c r="D137" s="870"/>
      <c r="E137" s="837"/>
      <c r="F137" s="837"/>
      <c r="G137" s="531" t="s">
        <v>339</v>
      </c>
      <c r="H137" s="531" t="s">
        <v>24</v>
      </c>
    </row>
    <row r="138" spans="1:8" s="26" customFormat="1" ht="20.149999999999999" customHeight="1" x14ac:dyDescent="0.3">
      <c r="A138" s="858" t="s">
        <v>342</v>
      </c>
      <c r="B138" s="589" t="s">
        <v>19</v>
      </c>
      <c r="C138" s="482">
        <f>(C90+C95+C100+C105+C106+C107)</f>
        <v>335561372.23748952</v>
      </c>
      <c r="D138" s="533">
        <f>C138/($C$138+$C$143+$C$148+$C$153+$C$158+$C$163+$C$168+$C$173+$C$178+$C$183+$C$188)</f>
        <v>1.9504357146728612E-2</v>
      </c>
      <c r="E138" s="480">
        <f>D138*$A$20*$B$301*1000</f>
        <v>241242974.62864342</v>
      </c>
      <c r="F138" s="833">
        <f>SUM(E138:E142)</f>
        <v>344310239.32403415</v>
      </c>
      <c r="G138" s="482">
        <f>E138/$B$301/1000</f>
        <v>67011937.3968454</v>
      </c>
      <c r="H138" s="511" t="s">
        <v>14</v>
      </c>
    </row>
    <row r="139" spans="1:8" s="26" customFormat="1" ht="20.149999999999999" customHeight="1" x14ac:dyDescent="0.3">
      <c r="A139" s="859"/>
      <c r="B139" s="589" t="s">
        <v>95</v>
      </c>
      <c r="C139" s="482">
        <f>(C91+C96+C101+C108)</f>
        <v>69506305.68234992</v>
      </c>
      <c r="D139" s="534">
        <f>C139/($C$139+$C$144+$C$149+$C$154+$C$159+$C$164+$C$169+$C$174+$C$179+$C$184+$C$189)</f>
        <v>8.6948855368479457E-3</v>
      </c>
      <c r="E139" s="480">
        <f>D139*$A$17*$B$302*1000</f>
        <v>48552134.968832634</v>
      </c>
      <c r="F139" s="834"/>
      <c r="G139" s="482">
        <f>E139/$B$302/1000</f>
        <v>1277687.7623377009</v>
      </c>
      <c r="H139" s="511" t="s">
        <v>581</v>
      </c>
    </row>
    <row r="140" spans="1:8" s="26" customFormat="1" ht="20.149999999999999" customHeight="1" x14ac:dyDescent="0.3">
      <c r="A140" s="859"/>
      <c r="B140" s="589" t="s">
        <v>346</v>
      </c>
      <c r="C140" s="482">
        <f>(C92+C97+C102)</f>
        <v>35110522.635600522</v>
      </c>
      <c r="D140" s="532">
        <f>C140/($C$140+$C$145+$C$150+$C$155+$C$160+$C$165+$C$170+$C$175+$C$180+$C$185+$C$190)</f>
        <v>2.4983799008831565E-2</v>
      </c>
      <c r="E140" s="482">
        <f>C140</f>
        <v>35110522.635600522</v>
      </c>
      <c r="F140" s="834"/>
      <c r="G140" s="482">
        <f>E140/$B$303/1000</f>
        <v>907717.75169598043</v>
      </c>
      <c r="H140" s="511" t="s">
        <v>337</v>
      </c>
    </row>
    <row r="141" spans="1:8" s="26" customFormat="1" ht="20.149999999999999" customHeight="1" x14ac:dyDescent="0.3">
      <c r="A141" s="859"/>
      <c r="B141" s="589" t="s">
        <v>31</v>
      </c>
      <c r="C141" s="482">
        <f>(C93+C98+C103)</f>
        <v>4793115.4451008961</v>
      </c>
      <c r="D141" s="661">
        <f>C141/($C$141+$C$146+$C$151+$C$156+$C$161+$C$166+$C$171+$C$176+$C$181+$C$186+$C$191)</f>
        <v>6.8459508905964347E-2</v>
      </c>
      <c r="E141" s="482">
        <f>C141</f>
        <v>4793115.4451008961</v>
      </c>
      <c r="F141" s="834"/>
      <c r="G141" s="482">
        <f>E141/$B$304/1000</f>
        <v>115775.73538891053</v>
      </c>
      <c r="H141" s="511" t="s">
        <v>337</v>
      </c>
    </row>
    <row r="142" spans="1:8" s="26" customFormat="1" ht="20.149999999999999" customHeight="1" x14ac:dyDescent="0.3">
      <c r="A142" s="860"/>
      <c r="B142" s="589" t="s">
        <v>13</v>
      </c>
      <c r="C142" s="482">
        <f>(C94+C99+C104)</f>
        <v>14611491.64585666</v>
      </c>
      <c r="D142" s="662">
        <f>C142/($C$142+$C$147+$C$152+$C$157+$C$162+$C$167+$C$172+$C$177+$C$182+$C$187+$C$192)</f>
        <v>2.5572818387419198E-2</v>
      </c>
      <c r="E142" s="482">
        <f>C142</f>
        <v>14611491.64585666</v>
      </c>
      <c r="F142" s="835"/>
      <c r="G142" s="482">
        <f>E142/$B$305/1000</f>
        <v>572326.34727209795</v>
      </c>
      <c r="H142" s="511" t="s">
        <v>337</v>
      </c>
    </row>
    <row r="143" spans="1:8" s="26" customFormat="1" ht="20.149999999999999" customHeight="1" x14ac:dyDescent="0.3">
      <c r="A143" s="858" t="s">
        <v>343</v>
      </c>
      <c r="B143" s="589" t="s">
        <v>19</v>
      </c>
      <c r="C143" s="482">
        <f>(D90+D95+D100+D105+D106+D107)</f>
        <v>4955881844.7315483</v>
      </c>
      <c r="D143" s="533">
        <f>C143/($C$138+$C$143+$C$148+$C$153+$C$158+$C$163+$C$168+$C$173+$C$178+$C$183+$C$188)</f>
        <v>0.28805845211594105</v>
      </c>
      <c r="E143" s="480">
        <f>D143*$A$20*$B$301*1000</f>
        <v>3562900193.6640553</v>
      </c>
      <c r="F143" s="833">
        <f>SUM(E143:E147)</f>
        <v>5033799400.732769</v>
      </c>
      <c r="G143" s="482">
        <f>E143/$B$301/1000</f>
        <v>989694498.24001539</v>
      </c>
      <c r="H143" s="511" t="s">
        <v>14</v>
      </c>
    </row>
    <row r="144" spans="1:8" s="26" customFormat="1" ht="20.149999999999999" customHeight="1" x14ac:dyDescent="0.3">
      <c r="A144" s="859"/>
      <c r="B144" s="589" t="s">
        <v>95</v>
      </c>
      <c r="C144" s="482">
        <f>(D91+D96+D101+D108)</f>
        <v>1305405821.8021054</v>
      </c>
      <c r="D144" s="534">
        <f>C144/($C$139+$C$144+$C$149+$C$154+$C$159+$C$164+$C$169+$C$174+$C$179+$C$184+$C$189)</f>
        <v>0.16329963286462632</v>
      </c>
      <c r="E144" s="480">
        <f>D144*$A$17*$B$302*1000</f>
        <v>911863161.5797435</v>
      </c>
      <c r="F144" s="834"/>
      <c r="G144" s="482">
        <f>E144/$B$302/1000</f>
        <v>23996398.988940619</v>
      </c>
      <c r="H144" s="511" t="s">
        <v>581</v>
      </c>
    </row>
    <row r="145" spans="1:8" s="26" customFormat="1" ht="20.149999999999999" customHeight="1" x14ac:dyDescent="0.3">
      <c r="A145" s="859"/>
      <c r="B145" s="589" t="s">
        <v>346</v>
      </c>
      <c r="C145" s="482">
        <f>(D92+D97+D102)</f>
        <v>429430834.74746114</v>
      </c>
      <c r="D145" s="532">
        <f>C145/($C$140+$C$145+$C$150+$C$155+$C$160+$C$165+$C$170+$C$175+$C$180+$C$185+$C$190)</f>
        <v>0.30557259927104552</v>
      </c>
      <c r="E145" s="482">
        <f>C145</f>
        <v>429430834.74746114</v>
      </c>
      <c r="F145" s="834"/>
      <c r="G145" s="482">
        <f>E145/$B$303/1000</f>
        <v>11102141.539489688</v>
      </c>
      <c r="H145" s="511" t="s">
        <v>337</v>
      </c>
    </row>
    <row r="146" spans="1:8" s="26" customFormat="1" ht="20.149999999999999" customHeight="1" x14ac:dyDescent="0.3">
      <c r="A146" s="859"/>
      <c r="B146" s="589" t="s">
        <v>31</v>
      </c>
      <c r="C146" s="482">
        <f>(D93+D98+D103)</f>
        <v>4026639.2542837663</v>
      </c>
      <c r="D146" s="661">
        <f>C146/($C$141+$C$146+$C$151+$C$156+$C$161+$C$166+$C$171+$C$176+$C$181+$C$186+$C$191)</f>
        <v>5.751201886270077E-2</v>
      </c>
      <c r="E146" s="482">
        <f>C146</f>
        <v>4026639.2542837663</v>
      </c>
      <c r="F146" s="834"/>
      <c r="G146" s="482">
        <f>E146/$B$304/1000</f>
        <v>97261.817736322861</v>
      </c>
      <c r="H146" s="511" t="s">
        <v>337</v>
      </c>
    </row>
    <row r="147" spans="1:8" s="26" customFormat="1" ht="20.149999999999999" customHeight="1" x14ac:dyDescent="0.3">
      <c r="A147" s="860"/>
      <c r="B147" s="589" t="s">
        <v>13</v>
      </c>
      <c r="C147" s="482">
        <f>(D94+D99+D104)</f>
        <v>125578571.48722467</v>
      </c>
      <c r="D147" s="662">
        <f>C147/($C$142+$C$147+$C$152+$C$157+$C$162+$C$167+$C$172+$C$177+$C$182+$C$187+$C$192)</f>
        <v>0.21978577409001104</v>
      </c>
      <c r="E147" s="482">
        <f>C147</f>
        <v>125578571.48722467</v>
      </c>
      <c r="F147" s="835"/>
      <c r="G147" s="482">
        <f>E147/$B$305/1000</f>
        <v>4918862.9646386467</v>
      </c>
      <c r="H147" s="511" t="s">
        <v>337</v>
      </c>
    </row>
    <row r="148" spans="1:8" s="26" customFormat="1" ht="20.149999999999999" customHeight="1" x14ac:dyDescent="0.3">
      <c r="A148" s="858" t="s">
        <v>344</v>
      </c>
      <c r="B148" s="589" t="s">
        <v>19</v>
      </c>
      <c r="C148" s="482">
        <f>(E90+E95+E100+E105+E106+E107)</f>
        <v>769748764.35316849</v>
      </c>
      <c r="D148" s="533">
        <f>C148/($C$138+$C$143+$C$148+$C$153+$C$158+$C$163+$C$168+$C$173+$C$178+$C$183+$C$188)</f>
        <v>4.474130831295936E-2</v>
      </c>
      <c r="E148" s="480">
        <f>D148*$A$20*$B$301*1000</f>
        <v>553390518.07744014</v>
      </c>
      <c r="F148" s="833">
        <f>SUM(E148:E152)</f>
        <v>1118860255.02139</v>
      </c>
      <c r="G148" s="482">
        <f>E148/$B$301/1000</f>
        <v>153719588.35484448</v>
      </c>
      <c r="H148" s="511" t="s">
        <v>14</v>
      </c>
    </row>
    <row r="149" spans="1:8" s="26" customFormat="1" ht="20.149999999999999" customHeight="1" x14ac:dyDescent="0.3">
      <c r="A149" s="859"/>
      <c r="B149" s="589" t="s">
        <v>95</v>
      </c>
      <c r="C149" s="482">
        <f>(E91+E96+E101+E108)</f>
        <v>541527328.70206296</v>
      </c>
      <c r="D149" s="534">
        <f>C149/($C$139+$C$144+$C$149+$C$154+$C$159+$C$164+$C$169+$C$174+$C$179+$C$184+$C$189)</f>
        <v>6.7742316210241738E-2</v>
      </c>
      <c r="E149" s="480">
        <f>D149*$A$17*$B$302*1000</f>
        <v>378272268.88754773</v>
      </c>
      <c r="F149" s="834"/>
      <c r="G149" s="482">
        <f>E149/$B$302/1000</f>
        <v>9954533.3917775732</v>
      </c>
      <c r="H149" s="511" t="s">
        <v>581</v>
      </c>
    </row>
    <row r="150" spans="1:8" s="26" customFormat="1" ht="20.149999999999999" customHeight="1" x14ac:dyDescent="0.3">
      <c r="A150" s="859"/>
      <c r="B150" s="589" t="s">
        <v>346</v>
      </c>
      <c r="C150" s="482">
        <f>(E92+E97+E102)</f>
        <v>122738892.45380566</v>
      </c>
      <c r="D150" s="532">
        <f>C150/($C$140+$C$145+$C$150+$C$155+$C$160+$C$165+$C$170+$C$175+$C$180+$C$185+$C$190)</f>
        <v>8.7338028301612192E-2</v>
      </c>
      <c r="E150" s="482">
        <f>C150</f>
        <v>122738892.45380566</v>
      </c>
      <c r="F150" s="834"/>
      <c r="G150" s="482">
        <f>E150/$B$303/1000</f>
        <v>3173187.4988057301</v>
      </c>
      <c r="H150" s="511" t="s">
        <v>337</v>
      </c>
    </row>
    <row r="151" spans="1:8" s="26" customFormat="1" ht="20.149999999999999" customHeight="1" x14ac:dyDescent="0.3">
      <c r="A151" s="859"/>
      <c r="B151" s="589" t="s">
        <v>31</v>
      </c>
      <c r="C151" s="482">
        <f>(E93+E98+E103)</f>
        <v>43201495.432052612</v>
      </c>
      <c r="D151" s="661">
        <f>C151/($C$141+$C$146+$C$151+$C$156+$C$161+$C$166+$C$171+$C$176+$C$181+$C$186+$C$191)</f>
        <v>0.61704192088770493</v>
      </c>
      <c r="E151" s="482">
        <f>C151</f>
        <v>43201495.432052612</v>
      </c>
      <c r="F151" s="834"/>
      <c r="G151" s="482">
        <f>E151/$B$304/1000</f>
        <v>1043514.3824167298</v>
      </c>
      <c r="H151" s="511" t="s">
        <v>337</v>
      </c>
    </row>
    <row r="152" spans="1:8" s="26" customFormat="1" ht="20.149999999999999" customHeight="1" x14ac:dyDescent="0.3">
      <c r="A152" s="860"/>
      <c r="B152" s="589" t="s">
        <v>13</v>
      </c>
      <c r="C152" s="482">
        <f>(E94+E99+E104)</f>
        <v>21257080.170543578</v>
      </c>
      <c r="D152" s="662">
        <f>C152/($C$142+$C$147+$C$152+$C$157+$C$162+$C$167+$C$172+$C$177+$C$182+$C$187+$C$192)</f>
        <v>3.7203829959569459E-2</v>
      </c>
      <c r="E152" s="482">
        <f>C152</f>
        <v>21257080.170543578</v>
      </c>
      <c r="F152" s="835"/>
      <c r="G152" s="482">
        <f>E152/$B$305/1000</f>
        <v>832631.42070284288</v>
      </c>
      <c r="H152" s="511" t="s">
        <v>337</v>
      </c>
    </row>
    <row r="153" spans="1:8" s="26" customFormat="1" ht="20.149999999999999" customHeight="1" x14ac:dyDescent="0.3">
      <c r="A153" s="858" t="s">
        <v>345</v>
      </c>
      <c r="B153" s="589" t="s">
        <v>19</v>
      </c>
      <c r="C153" s="482">
        <f>(F90+F95+F100+F105+F106+F107)</f>
        <v>508019396.7268706</v>
      </c>
      <c r="D153" s="533">
        <f>C153/($C$138+$C$143+$C$148+$C$153+$C$158+$C$163+$C$168+$C$173+$C$178+$C$183+$C$188)</f>
        <v>2.9528403955309285E-2</v>
      </c>
      <c r="E153" s="480">
        <f>D153*$A$20*$B$301*1000</f>
        <v>365227110.67202806</v>
      </c>
      <c r="F153" s="833">
        <f>SUM(E153:E157)</f>
        <v>658379396.83913565</v>
      </c>
      <c r="G153" s="482">
        <f>E153/$B$301/1000</f>
        <v>101451975.18667448</v>
      </c>
      <c r="H153" s="511" t="s">
        <v>14</v>
      </c>
    </row>
    <row r="154" spans="1:8" s="26" customFormat="1" ht="20.149999999999999" customHeight="1" x14ac:dyDescent="0.3">
      <c r="A154" s="859"/>
      <c r="B154" s="589" t="s">
        <v>95</v>
      </c>
      <c r="C154" s="482">
        <f>(F91+F96+F101+F108)</f>
        <v>332910477.06920999</v>
      </c>
      <c r="D154" s="534">
        <f>C154/($C$139+$C$144+$C$149+$C$154+$C$159+$C$164+$C$169+$C$174+$C$179+$C$184+$C$189)</f>
        <v>4.1645408480820295E-2</v>
      </c>
      <c r="E154" s="480">
        <f>D154*$A$17*$B$302*1000</f>
        <v>232547453.88240686</v>
      </c>
      <c r="F154" s="834"/>
      <c r="G154" s="482">
        <f>E154/$B$302/1000</f>
        <v>6119669.8390107071</v>
      </c>
      <c r="H154" s="511" t="s">
        <v>581</v>
      </c>
    </row>
    <row r="155" spans="1:8" s="26" customFormat="1" ht="20.149999999999999" customHeight="1" x14ac:dyDescent="0.3">
      <c r="A155" s="859"/>
      <c r="B155" s="589" t="s">
        <v>346</v>
      </c>
      <c r="C155" s="482">
        <f>(F92+F97+F102)</f>
        <v>34300083.349829897</v>
      </c>
      <c r="D155" s="532">
        <f>C155/($C$140+$C$145+$C$150+$C$155+$C$160+$C$165+$C$170+$C$175+$C$180+$C$185+$C$190)</f>
        <v>2.4407110007796193E-2</v>
      </c>
      <c r="E155" s="482">
        <f>C155</f>
        <v>34300083.349829897</v>
      </c>
      <c r="F155" s="834"/>
      <c r="G155" s="482">
        <f>E155/$B$303/1000</f>
        <v>886765.33996457851</v>
      </c>
      <c r="H155" s="511" t="s">
        <v>337</v>
      </c>
    </row>
    <row r="156" spans="1:8" s="26" customFormat="1" ht="20.149999999999999" customHeight="1" x14ac:dyDescent="0.3">
      <c r="A156" s="859"/>
      <c r="B156" s="589" t="s">
        <v>31</v>
      </c>
      <c r="C156" s="482">
        <f>(F93+F98+F103)</f>
        <v>974620.5937402558</v>
      </c>
      <c r="D156" s="661">
        <f>C156/($C$141+$C$146+$C$151+$C$156+$C$161+$C$166+$C$171+$C$176+$C$181+$C$186+$C$191)</f>
        <v>1.3920392275402996E-2</v>
      </c>
      <c r="E156" s="482">
        <f>C156</f>
        <v>974620.5937402558</v>
      </c>
      <c r="F156" s="834"/>
      <c r="G156" s="482">
        <f>E156/$B$304/1000</f>
        <v>23541.560235271878</v>
      </c>
      <c r="H156" s="511" t="s">
        <v>337</v>
      </c>
    </row>
    <row r="157" spans="1:8" s="26" customFormat="1" ht="20.149999999999999" customHeight="1" x14ac:dyDescent="0.3">
      <c r="A157" s="860"/>
      <c r="B157" s="589" t="s">
        <v>13</v>
      </c>
      <c r="C157" s="482">
        <f>(F94+F99+F104)</f>
        <v>25330128.341130599</v>
      </c>
      <c r="D157" s="662">
        <f>C157/($C$142+$C$147+$C$152+$C$157+$C$162+$C$167+$C$172+$C$177+$C$182+$C$187+$C$192)</f>
        <v>4.4332419132678838E-2</v>
      </c>
      <c r="E157" s="482">
        <f>C157</f>
        <v>25330128.341130599</v>
      </c>
      <c r="F157" s="835"/>
      <c r="G157" s="482">
        <f>E157/$B$305/1000</f>
        <v>992171.10619391303</v>
      </c>
      <c r="H157" s="511" t="s">
        <v>337</v>
      </c>
    </row>
    <row r="158" spans="1:8" s="26" customFormat="1" ht="20.149999999999999" customHeight="1" x14ac:dyDescent="0.3">
      <c r="A158" s="858" t="s">
        <v>352</v>
      </c>
      <c r="B158" s="589" t="s">
        <v>19</v>
      </c>
      <c r="C158" s="482">
        <f>(G90+G95+G100+G105+G106+G107)</f>
        <v>3360844570.5038891</v>
      </c>
      <c r="D158" s="533">
        <f>C158/($C$138+$C$143+$C$148+$C$153+$C$158+$C$163+$C$168+$C$173+$C$178+$C$183+$C$188)</f>
        <v>0.19534761221371622</v>
      </c>
      <c r="E158" s="480">
        <f>D158*$A$20*$B$301*1000</f>
        <v>2416190326.218668</v>
      </c>
      <c r="F158" s="833">
        <f>SUM(E158:E162)</f>
        <v>3495345951.3903151</v>
      </c>
      <c r="G158" s="482">
        <f>E158/$B$301/1000</f>
        <v>671163979.5051856</v>
      </c>
      <c r="H158" s="511" t="s">
        <v>14</v>
      </c>
    </row>
    <row r="159" spans="1:8" s="26" customFormat="1" ht="20.149999999999999" customHeight="1" x14ac:dyDescent="0.3">
      <c r="A159" s="859"/>
      <c r="B159" s="589" t="s">
        <v>95</v>
      </c>
      <c r="C159" s="482">
        <f>(G91+G96+G101+G108)</f>
        <v>1188971864.0267475</v>
      </c>
      <c r="D159" s="534">
        <f>C159/($C$139+$C$144+$C$149+$C$154+$C$159+$C$164+$C$169+$C$174+$C$179+$C$184+$C$189)</f>
        <v>0.14873433658653623</v>
      </c>
      <c r="E159" s="480">
        <f>D159*$A$17*$B$302*1000</f>
        <v>830530724.50993598</v>
      </c>
      <c r="F159" s="834"/>
      <c r="G159" s="482">
        <f>E159/$B$302/1000</f>
        <v>21856071.697629895</v>
      </c>
      <c r="H159" s="511" t="s">
        <v>581</v>
      </c>
    </row>
    <row r="160" spans="1:8" s="26" customFormat="1" ht="20.149999999999999" customHeight="1" x14ac:dyDescent="0.3">
      <c r="A160" s="859"/>
      <c r="B160" s="589" t="s">
        <v>346</v>
      </c>
      <c r="C160" s="482">
        <f>(G92+G97+G102)</f>
        <v>150330237.09097275</v>
      </c>
      <c r="D160" s="532">
        <f>C160/($C$140+$C$145+$C$150+$C$155+$C$160+$C$165+$C$170+$C$175+$C$180+$C$185+$C$190)</f>
        <v>0.10697136204468294</v>
      </c>
      <c r="E160" s="482">
        <f>C160</f>
        <v>150330237.09097275</v>
      </c>
      <c r="F160" s="834"/>
      <c r="G160" s="482">
        <f>E160/$B$303/1000</f>
        <v>3886510.7831171863</v>
      </c>
      <c r="H160" s="511" t="s">
        <v>337</v>
      </c>
    </row>
    <row r="161" spans="1:8" s="26" customFormat="1" ht="20.149999999999999" customHeight="1" x14ac:dyDescent="0.3">
      <c r="A161" s="859"/>
      <c r="B161" s="589" t="s">
        <v>31</v>
      </c>
      <c r="C161" s="482">
        <f>(G93+G98+G103)</f>
        <v>3389205.2187859104</v>
      </c>
      <c r="D161" s="661">
        <f>C161/($C$141+$C$146+$C$151+$C$156+$C$161+$C$166+$C$171+$C$176+$C$181+$C$186+$C$191)</f>
        <v>4.8407622874339244E-2</v>
      </c>
      <c r="E161" s="482">
        <f>C161</f>
        <v>3389205.2187859104</v>
      </c>
      <c r="F161" s="834"/>
      <c r="G161" s="482">
        <f>E161/$B$304/1000</f>
        <v>81864.860357147583</v>
      </c>
      <c r="H161" s="511" t="s">
        <v>337</v>
      </c>
    </row>
    <row r="162" spans="1:8" s="26" customFormat="1" ht="20.149999999999999" customHeight="1" x14ac:dyDescent="0.3">
      <c r="A162" s="860"/>
      <c r="B162" s="589" t="s">
        <v>13</v>
      </c>
      <c r="C162" s="482">
        <f>(G94+G99+G104)</f>
        <v>94905458.351952329</v>
      </c>
      <c r="D162" s="662">
        <f>C162/($C$142+$C$147+$C$152+$C$157+$C$162+$C$167+$C$172+$C$177+$C$182+$C$187+$C$192)</f>
        <v>0.16610214133048293</v>
      </c>
      <c r="E162" s="482">
        <f>C162</f>
        <v>94905458.351952329</v>
      </c>
      <c r="F162" s="835"/>
      <c r="G162" s="482">
        <f>E162/$B$305/1000</f>
        <v>3717409.2578124683</v>
      </c>
      <c r="H162" s="511" t="s">
        <v>337</v>
      </c>
    </row>
    <row r="163" spans="1:8" s="26" customFormat="1" ht="20.149999999999999" customHeight="1" x14ac:dyDescent="0.3">
      <c r="A163" s="858" t="s">
        <v>359</v>
      </c>
      <c r="B163" s="589" t="s">
        <v>19</v>
      </c>
      <c r="C163" s="482">
        <f>(H90+H95+H100+H105+H106+H107)</f>
        <v>1893779414.0947785</v>
      </c>
      <c r="D163" s="533">
        <f>C163/($C$138+$C$143+$C$148+$C$153+$C$158+$C$163+$C$168+$C$173+$C$178+$C$183+$C$188)</f>
        <v>0.11007509536432976</v>
      </c>
      <c r="E163" s="480">
        <f>D163*$A$20*$B$301*1000</f>
        <v>1361482628.648258</v>
      </c>
      <c r="F163" s="833">
        <f>SUM(E163:E167)</f>
        <v>2826215192.0242863</v>
      </c>
      <c r="G163" s="482">
        <f>E163/$B$301/1000</f>
        <v>378189619.06896055</v>
      </c>
      <c r="H163" s="511" t="s">
        <v>14</v>
      </c>
    </row>
    <row r="164" spans="1:8" s="26" customFormat="1" ht="20.149999999999999" customHeight="1" x14ac:dyDescent="0.3">
      <c r="A164" s="859"/>
      <c r="B164" s="589" t="s">
        <v>95</v>
      </c>
      <c r="C164" s="482">
        <f>(H91+H96+H101+H108)</f>
        <v>1708571776.5100689</v>
      </c>
      <c r="D164" s="534">
        <f>C164/($C$139+$C$144+$C$149+$C$154+$C$159+$C$164+$C$169+$C$174+$C$179+$C$184+$C$189)</f>
        <v>0.21373364448596227</v>
      </c>
      <c r="E164" s="480">
        <f>D164*$A$17*$B$302*1000</f>
        <v>1193486068.3887579</v>
      </c>
      <c r="F164" s="834"/>
      <c r="G164" s="482">
        <f>E164/$B$302/1000</f>
        <v>31407528.115493629</v>
      </c>
      <c r="H164" s="511" t="s">
        <v>581</v>
      </c>
    </row>
    <row r="165" spans="1:8" s="26" customFormat="1" ht="20.149999999999999" customHeight="1" x14ac:dyDescent="0.3">
      <c r="A165" s="859"/>
      <c r="B165" s="589" t="s">
        <v>346</v>
      </c>
      <c r="C165" s="482">
        <f>(H92+H97+H102)</f>
        <v>181122635.63556683</v>
      </c>
      <c r="D165" s="532">
        <f>C165/($C$140+$C$145+$C$150+$C$155+$C$160+$C$165+$C$170+$C$175+$C$180+$C$185+$C$190)</f>
        <v>0.12888248835352145</v>
      </c>
      <c r="E165" s="482">
        <f>C165</f>
        <v>181122635.63556683</v>
      </c>
      <c r="F165" s="834"/>
      <c r="G165" s="482">
        <f>E165/$B$303/1000</f>
        <v>4682591.4073310969</v>
      </c>
      <c r="H165" s="511" t="s">
        <v>337</v>
      </c>
    </row>
    <row r="166" spans="1:8" s="26" customFormat="1" ht="20.149999999999999" customHeight="1" x14ac:dyDescent="0.3">
      <c r="A166" s="859"/>
      <c r="B166" s="589" t="s">
        <v>31</v>
      </c>
      <c r="C166" s="482">
        <f>(H93+H98+H103)</f>
        <v>3454437.9418455604</v>
      </c>
      <c r="D166" s="661">
        <f>C166/($C$141+$C$146+$C$151+$C$156+$C$161+$C$166+$C$171+$C$176+$C$181+$C$186+$C$191)</f>
        <v>4.9339334250043117E-2</v>
      </c>
      <c r="E166" s="482">
        <f>C166</f>
        <v>3454437.9418455604</v>
      </c>
      <c r="F166" s="834"/>
      <c r="G166" s="482">
        <f>E166/$B$304/1000</f>
        <v>83440.529996269586</v>
      </c>
      <c r="H166" s="511" t="s">
        <v>337</v>
      </c>
    </row>
    <row r="167" spans="1:8" s="26" customFormat="1" ht="20.149999999999999" customHeight="1" x14ac:dyDescent="0.3">
      <c r="A167" s="860"/>
      <c r="B167" s="589" t="s">
        <v>13</v>
      </c>
      <c r="C167" s="482">
        <f>(H94+H99+H104)</f>
        <v>86669421.409858108</v>
      </c>
      <c r="D167" s="662">
        <f>C167/($C$142+$C$147+$C$152+$C$157+$C$162+$C$167+$C$172+$C$177+$C$182+$C$187+$C$192)</f>
        <v>0.15168755026359651</v>
      </c>
      <c r="E167" s="482">
        <f>C167</f>
        <v>86669421.409858108</v>
      </c>
      <c r="F167" s="835"/>
      <c r="G167" s="482">
        <f>E167/$B$305/1000</f>
        <v>3394806.9490739563</v>
      </c>
      <c r="H167" s="511" t="s">
        <v>337</v>
      </c>
    </row>
    <row r="168" spans="1:8" s="26" customFormat="1" ht="20.149999999999999" customHeight="1" x14ac:dyDescent="0.3">
      <c r="A168" s="858" t="s">
        <v>354</v>
      </c>
      <c r="B168" s="589" t="s">
        <v>19</v>
      </c>
      <c r="C168" s="482">
        <f>(I90+I95+I100+I105+I106+I107)</f>
        <v>1552672617.3999972</v>
      </c>
      <c r="D168" s="533">
        <f>C168/($C$138+$C$143+$C$148+$C$153+$C$158+$C$163+$C$168+$C$173+$C$178+$C$183+$C$188)</f>
        <v>9.0248412860471916E-2</v>
      </c>
      <c r="E168" s="480">
        <f>D168*$A$20*$B$301*1000</f>
        <v>1116252917.7551417</v>
      </c>
      <c r="F168" s="833">
        <f>SUM(E168:E172)</f>
        <v>2054942073.7689347</v>
      </c>
      <c r="G168" s="482">
        <f>E168/$B$301/1000</f>
        <v>310070254.93198383</v>
      </c>
      <c r="H168" s="511" t="s">
        <v>14</v>
      </c>
    </row>
    <row r="169" spans="1:8" s="26" customFormat="1" ht="20.149999999999999" customHeight="1" x14ac:dyDescent="0.3">
      <c r="A169" s="859"/>
      <c r="B169" s="589" t="s">
        <v>95</v>
      </c>
      <c r="C169" s="482">
        <f>(I91+I96+I101+I108)</f>
        <v>1087091338.2331307</v>
      </c>
      <c r="D169" s="534">
        <f>C169/($C$139+$C$144+$C$149+$C$154+$C$159+$C$164+$C$169+$C$174+$C$179+$C$184+$C$189)</f>
        <v>0.13598960067354224</v>
      </c>
      <c r="E169" s="480">
        <f>D169*$A$17*$B$302*1000</f>
        <v>759364274.35168207</v>
      </c>
      <c r="F169" s="834"/>
      <c r="G169" s="482">
        <f>E169/$B$302/1000</f>
        <v>19983270.377675846</v>
      </c>
      <c r="H169" s="511" t="s">
        <v>581</v>
      </c>
    </row>
    <row r="170" spans="1:8" s="26" customFormat="1" ht="20.149999999999999" customHeight="1" x14ac:dyDescent="0.3">
      <c r="A170" s="859"/>
      <c r="B170" s="589" t="s">
        <v>346</v>
      </c>
      <c r="C170" s="482">
        <f>(I92+I97+I102)</f>
        <v>117554872.7093931</v>
      </c>
      <c r="D170" s="532">
        <f>C170/($C$140+$C$145+$C$150+$C$155+$C$160+$C$165+$C$170+$C$175+$C$180+$C$185+$C$190)</f>
        <v>8.3649205190192769E-2</v>
      </c>
      <c r="E170" s="482">
        <f>C170</f>
        <v>117554872.7093931</v>
      </c>
      <c r="F170" s="834"/>
      <c r="G170" s="482">
        <f>E170/$B$303/1000</f>
        <v>3039164.2375747957</v>
      </c>
      <c r="H170" s="511" t="s">
        <v>337</v>
      </c>
    </row>
    <row r="171" spans="1:8" s="26" customFormat="1" ht="20.149999999999999" customHeight="1" x14ac:dyDescent="0.3">
      <c r="A171" s="859"/>
      <c r="B171" s="589" t="s">
        <v>31</v>
      </c>
      <c r="C171" s="482">
        <f>(I93+I98+I103)</f>
        <v>2657262.8713489831</v>
      </c>
      <c r="D171" s="661">
        <f>C171/($C$141+$C$146+$C$151+$C$156+$C$161+$C$166+$C$171+$C$176+$C$181+$C$186+$C$191)</f>
        <v>3.7953375688570497E-2</v>
      </c>
      <c r="E171" s="482">
        <f>C171</f>
        <v>2657262.8713489831</v>
      </c>
      <c r="F171" s="834"/>
      <c r="G171" s="482">
        <f>E171/$B$304/1000</f>
        <v>64185.093510845007</v>
      </c>
      <c r="H171" s="511" t="s">
        <v>337</v>
      </c>
    </row>
    <row r="172" spans="1:8" s="26" customFormat="1" ht="20.149999999999999" customHeight="1" x14ac:dyDescent="0.3">
      <c r="A172" s="860"/>
      <c r="B172" s="589" t="s">
        <v>13</v>
      </c>
      <c r="C172" s="482">
        <f>(I94+I99+I104)</f>
        <v>59112746.081368603</v>
      </c>
      <c r="D172" s="662">
        <f>C172/($C$142+$C$147+$C$152+$C$157+$C$162+$C$167+$C$172+$C$177+$C$182+$C$187+$C$192)</f>
        <v>0.1034582612480313</v>
      </c>
      <c r="E172" s="482">
        <f>C172</f>
        <v>59112746.081368603</v>
      </c>
      <c r="F172" s="835"/>
      <c r="G172" s="482">
        <f>E172/$B$305/1000</f>
        <v>2315422.8782361378</v>
      </c>
      <c r="H172" s="511" t="s">
        <v>337</v>
      </c>
    </row>
    <row r="173" spans="1:8" s="26" customFormat="1" ht="20.149999999999999" customHeight="1" x14ac:dyDescent="0.3">
      <c r="A173" s="858" t="s">
        <v>355</v>
      </c>
      <c r="B173" s="589" t="s">
        <v>19</v>
      </c>
      <c r="C173" s="482">
        <f>(J90+J95+J100+J105+J106+J107)</f>
        <v>625066819.47625411</v>
      </c>
      <c r="D173" s="533">
        <f>C173/($C$138+$C$143+$C$148+$C$153+$C$158+$C$163+$C$168+$C$173+$C$178+$C$183+$C$188)</f>
        <v>3.6331733913062533E-2</v>
      </c>
      <c r="E173" s="480">
        <f>D173*$A$20*$B$301*1000</f>
        <v>449375259.93127388</v>
      </c>
      <c r="F173" s="833">
        <f>SUM(E173:E177)</f>
        <v>738896762.28211689</v>
      </c>
      <c r="G173" s="482">
        <f>E173/$B$301/1000</f>
        <v>124826461.09202053</v>
      </c>
      <c r="H173" s="511" t="s">
        <v>14</v>
      </c>
    </row>
    <row r="174" spans="1:8" s="26" customFormat="1" ht="20.149999999999999" customHeight="1" x14ac:dyDescent="0.3">
      <c r="A174" s="859"/>
      <c r="B174" s="589" t="s">
        <v>95</v>
      </c>
      <c r="C174" s="482">
        <f>(J91+J96+J101+J108)</f>
        <v>308510742.12503302</v>
      </c>
      <c r="D174" s="534">
        <f>C174/($C$139+$C$144+$C$149+$C$154+$C$159+$C$164+$C$169+$C$174+$C$179+$C$184+$C$189)</f>
        <v>3.8593125664371876E-2</v>
      </c>
      <c r="E174" s="480">
        <f>D174*$A$17*$B$302*1000</f>
        <v>215503543.79995444</v>
      </c>
      <c r="F174" s="834"/>
      <c r="G174" s="482">
        <f>E174/$B$302/1000</f>
        <v>5671145.8894724855</v>
      </c>
      <c r="H174" s="511" t="s">
        <v>581</v>
      </c>
    </row>
    <row r="175" spans="1:8" s="26" customFormat="1" ht="20.149999999999999" customHeight="1" x14ac:dyDescent="0.3">
      <c r="A175" s="859"/>
      <c r="B175" s="589" t="s">
        <v>346</v>
      </c>
      <c r="C175" s="482">
        <f>(J92+J97+J102)</f>
        <v>50196851.808697022</v>
      </c>
      <c r="D175" s="532">
        <f>C175/($C$140+$C$145+$C$150+$C$155+$C$160+$C$165+$C$170+$C$175+$C$180+$C$185+$C$190)</f>
        <v>3.5718866092667598E-2</v>
      </c>
      <c r="E175" s="482">
        <f>C175</f>
        <v>50196851.808697022</v>
      </c>
      <c r="F175" s="834"/>
      <c r="G175" s="482">
        <f>E175/$B$303/1000</f>
        <v>1297746.9443820326</v>
      </c>
      <c r="H175" s="511" t="s">
        <v>337</v>
      </c>
    </row>
    <row r="176" spans="1:8" s="26" customFormat="1" ht="20.149999999999999" customHeight="1" x14ac:dyDescent="0.3">
      <c r="A176" s="859"/>
      <c r="B176" s="589" t="s">
        <v>31</v>
      </c>
      <c r="C176" s="482">
        <f>(J93+J98+J103)</f>
        <v>917013.61864482518</v>
      </c>
      <c r="D176" s="661">
        <f>C176/($C$141+$C$146+$C$151+$C$156+$C$161+$C$166+$C$171+$C$176+$C$181+$C$186+$C$191)</f>
        <v>1.3097598568520294E-2</v>
      </c>
      <c r="E176" s="482">
        <f>C176</f>
        <v>917013.61864482518</v>
      </c>
      <c r="F176" s="834"/>
      <c r="G176" s="482">
        <f>E176/$B$304/1000</f>
        <v>22150.087406879837</v>
      </c>
      <c r="H176" s="511" t="s">
        <v>337</v>
      </c>
    </row>
    <row r="177" spans="1:8" s="26" customFormat="1" ht="20.149999999999999" customHeight="1" x14ac:dyDescent="0.3">
      <c r="A177" s="860"/>
      <c r="B177" s="589" t="s">
        <v>13</v>
      </c>
      <c r="C177" s="482">
        <f>(J94+J99+J104)</f>
        <v>22904093.12354666</v>
      </c>
      <c r="D177" s="662">
        <f>C177/($C$142+$C$147+$C$152+$C$157+$C$162+$C$167+$C$172+$C$177+$C$182+$C$187+$C$192)</f>
        <v>4.0086407874933651E-2</v>
      </c>
      <c r="E177" s="482">
        <f>C177</f>
        <v>22904093.12354666</v>
      </c>
      <c r="F177" s="835"/>
      <c r="G177" s="482">
        <f>E177/$B$305/1000</f>
        <v>897144.26649223117</v>
      </c>
      <c r="H177" s="511" t="s">
        <v>337</v>
      </c>
    </row>
    <row r="178" spans="1:8" s="26" customFormat="1" ht="20.149999999999999" customHeight="1" x14ac:dyDescent="0.3">
      <c r="A178" s="858" t="s">
        <v>360</v>
      </c>
      <c r="B178" s="589" t="s">
        <v>19</v>
      </c>
      <c r="C178" s="482">
        <f>(K90+K95+K100+K105+K106+K107)</f>
        <v>1774847930.4118433</v>
      </c>
      <c r="D178" s="533">
        <f>C178/($C$138+$C$143+$C$148+$C$153+$C$158+$C$163+$C$168+$C$173+$C$178+$C$183+$C$188)</f>
        <v>0.10316225519361855</v>
      </c>
      <c r="E178" s="480">
        <f>D178*$A$20*$B$301*1000</f>
        <v>1275979983.6049445</v>
      </c>
      <c r="F178" s="833">
        <f>SUM(E178:E182)</f>
        <v>1947240574.6822948</v>
      </c>
      <c r="G178" s="482">
        <f>E178/$B$301/1000</f>
        <v>354438884.33470678</v>
      </c>
      <c r="H178" s="511" t="s">
        <v>14</v>
      </c>
    </row>
    <row r="179" spans="1:8" s="26" customFormat="1" ht="20.149999999999999" customHeight="1" x14ac:dyDescent="0.3">
      <c r="A179" s="859"/>
      <c r="B179" s="589" t="s">
        <v>95</v>
      </c>
      <c r="C179" s="482">
        <f>(K91+K96+K101+K108)</f>
        <v>691369320.57121861</v>
      </c>
      <c r="D179" s="534">
        <f>C179/($C$139+$C$144+$C$149+$C$154+$C$159+$C$164+$C$169+$C$174+$C$179+$C$184+$C$189)</f>
        <v>8.6486787738764503E-2</v>
      </c>
      <c r="E179" s="480">
        <f>D179*$A$17*$B$302*1000</f>
        <v>482941169.67013347</v>
      </c>
      <c r="F179" s="834"/>
      <c r="G179" s="482">
        <f>E179/$B$302/1000</f>
        <v>12708978.149214039</v>
      </c>
      <c r="H179" s="511" t="s">
        <v>581</v>
      </c>
    </row>
    <row r="180" spans="1:8" s="26" customFormat="1" ht="20.149999999999999" customHeight="1" x14ac:dyDescent="0.3">
      <c r="A180" s="859"/>
      <c r="B180" s="589" t="s">
        <v>346</v>
      </c>
      <c r="C180" s="482">
        <f>(K92+K97+K102)</f>
        <v>125085617.21013132</v>
      </c>
      <c r="D180" s="532">
        <f>C180/($C$140+$C$145+$C$150+$C$155+$C$160+$C$165+$C$170+$C$175+$C$180+$C$185+$C$190)</f>
        <v>8.9007900899339951E-2</v>
      </c>
      <c r="E180" s="482">
        <f>C180</f>
        <v>125085617.21013132</v>
      </c>
      <c r="F180" s="834"/>
      <c r="G180" s="482">
        <f>E180/$B$303/1000</f>
        <v>3233857.7355256286</v>
      </c>
      <c r="H180" s="511" t="s">
        <v>337</v>
      </c>
    </row>
    <row r="181" spans="1:8" s="26" customFormat="1" ht="20.149999999999999" customHeight="1" x14ac:dyDescent="0.3">
      <c r="A181" s="859"/>
      <c r="B181" s="589" t="s">
        <v>31</v>
      </c>
      <c r="C181" s="482">
        <f>(K93+K98+K103)</f>
        <v>2388976.5097678313</v>
      </c>
      <c r="D181" s="661">
        <f>C181/($C$141+$C$146+$C$151+$C$156+$C$161+$C$166+$C$171+$C$176+$C$181+$C$186+$C$191)</f>
        <v>3.4121472874965926E-2</v>
      </c>
      <c r="E181" s="482">
        <f>C181</f>
        <v>2388976.5097678313</v>
      </c>
      <c r="F181" s="834"/>
      <c r="G181" s="482">
        <f>E181/$B$304/1000</f>
        <v>57704.74661274955</v>
      </c>
      <c r="H181" s="511" t="s">
        <v>337</v>
      </c>
    </row>
    <row r="182" spans="1:8" s="26" customFormat="1" ht="20.149999999999999" customHeight="1" x14ac:dyDescent="0.3">
      <c r="A182" s="860"/>
      <c r="B182" s="589" t="s">
        <v>13</v>
      </c>
      <c r="C182" s="482">
        <f>(K94+K99+K104)</f>
        <v>60844827.687317923</v>
      </c>
      <c r="D182" s="662">
        <f>C182/($C$142+$C$147+$C$152+$C$157+$C$162+$C$167+$C$172+$C$177+$C$182+$C$187+$C$192)</f>
        <v>0.10648972507217083</v>
      </c>
      <c r="E182" s="482">
        <f>C182</f>
        <v>60844827.687317923</v>
      </c>
      <c r="F182" s="835"/>
      <c r="G182" s="482">
        <f>E182/$B$305/1000</f>
        <v>2383267.8295071651</v>
      </c>
      <c r="H182" s="511" t="s">
        <v>337</v>
      </c>
    </row>
    <row r="183" spans="1:8" s="26" customFormat="1" ht="20.149999999999999" customHeight="1" x14ac:dyDescent="0.3">
      <c r="A183" s="858" t="s">
        <v>357</v>
      </c>
      <c r="B183" s="589" t="s">
        <v>19</v>
      </c>
      <c r="C183" s="482">
        <f>(L90+L95+L100+L105+L106+L107)</f>
        <v>1085135012.7754655</v>
      </c>
      <c r="D183" s="533">
        <f>C183/($C$138+$C$143+$C$148+$C$153+$C$158+$C$163+$C$168+$C$173+$C$178+$C$183+$C$188)</f>
        <v>6.3072995263034684E-2</v>
      </c>
      <c r="E183" s="480">
        <f>D183*$A$20*$B$301*1000</f>
        <v>780129120.97156346</v>
      </c>
      <c r="F183" s="833">
        <f>SUM(E183:E187)</f>
        <v>1234759182.3123081</v>
      </c>
      <c r="G183" s="482">
        <f>E183/$B$301/1000</f>
        <v>216702533.60321206</v>
      </c>
      <c r="H183" s="511" t="s">
        <v>14</v>
      </c>
    </row>
    <row r="184" spans="1:8" s="26" customFormat="1" ht="20.149999999999999" customHeight="1" x14ac:dyDescent="0.3">
      <c r="A184" s="859"/>
      <c r="B184" s="589" t="s">
        <v>95</v>
      </c>
      <c r="C184" s="482">
        <f>(L91+L96+L101+L108)</f>
        <v>432718486.77554029</v>
      </c>
      <c r="D184" s="534">
        <f>C184/($C$139+$C$144+$C$149+$C$154+$C$159+$C$164+$C$169+$C$174+$C$179+$C$184+$C$189)</f>
        <v>5.4130883165997248E-2</v>
      </c>
      <c r="E184" s="480">
        <f>D184*$A$17*$B$302*1000</f>
        <v>302266192.50129521</v>
      </c>
      <c r="F184" s="834"/>
      <c r="G184" s="482">
        <f>E184/$B$302/1000</f>
        <v>7954373.4868761906</v>
      </c>
      <c r="H184" s="511" t="s">
        <v>581</v>
      </c>
    </row>
    <row r="185" spans="1:8" s="26" customFormat="1" ht="20.149999999999999" customHeight="1" x14ac:dyDescent="0.3">
      <c r="A185" s="859"/>
      <c r="B185" s="589" t="s">
        <v>346</v>
      </c>
      <c r="C185" s="482">
        <f>(L92+L97+L102)</f>
        <v>122299349.18144733</v>
      </c>
      <c r="D185" s="532">
        <f>C185/($C$140+$C$145+$C$150+$C$155+$C$160+$C$165+$C$170+$C$175+$C$180+$C$185+$C$190)</f>
        <v>8.7025259936234736E-2</v>
      </c>
      <c r="E185" s="482">
        <f>C185</f>
        <v>122299349.18144733</v>
      </c>
      <c r="F185" s="834"/>
      <c r="G185" s="482">
        <f>E185/$B$303/1000</f>
        <v>3161823.9188585142</v>
      </c>
      <c r="H185" s="511" t="s">
        <v>337</v>
      </c>
    </row>
    <row r="186" spans="1:8" s="26" customFormat="1" ht="20.149999999999999" customHeight="1" x14ac:dyDescent="0.3">
      <c r="A186" s="859"/>
      <c r="B186" s="589" t="s">
        <v>31</v>
      </c>
      <c r="C186" s="482">
        <f>(L93+L98+L103)</f>
        <v>934880.54392152326</v>
      </c>
      <c r="D186" s="661">
        <f>C186/($C$141+$C$146+$C$151+$C$156+$C$161+$C$166+$C$171+$C$176+$C$181+$C$186+$C$191)</f>
        <v>1.3352789778519735E-2</v>
      </c>
      <c r="E186" s="482">
        <f>C186</f>
        <v>934880.54392152326</v>
      </c>
      <c r="F186" s="834"/>
      <c r="G186" s="482">
        <f>E186/$B$304/1000</f>
        <v>22581.655650278342</v>
      </c>
      <c r="H186" s="511" t="s">
        <v>337</v>
      </c>
    </row>
    <row r="187" spans="1:8" s="26" customFormat="1" ht="20.149999999999999" customHeight="1" x14ac:dyDescent="0.3">
      <c r="A187" s="860"/>
      <c r="B187" s="589" t="s">
        <v>13</v>
      </c>
      <c r="C187" s="482">
        <f>(L94+L99+L104)</f>
        <v>29129639.114080578</v>
      </c>
      <c r="D187" s="662">
        <f>C187/($C$142+$C$147+$C$152+$C$157+$C$162+$C$167+$C$172+$C$177+$C$182+$C$187+$C$192)</f>
        <v>5.0982267164125038E-2</v>
      </c>
      <c r="E187" s="482">
        <f>C187</f>
        <v>29129639.114080578</v>
      </c>
      <c r="F187" s="835"/>
      <c r="G187" s="482">
        <f>E187/$B$305/1000</f>
        <v>1140996.4400344917</v>
      </c>
      <c r="H187" s="511" t="s">
        <v>337</v>
      </c>
    </row>
    <row r="188" spans="1:8" s="26" customFormat="1" ht="20.149999999999999" customHeight="1" x14ac:dyDescent="0.3">
      <c r="A188" s="858" t="s">
        <v>361</v>
      </c>
      <c r="B188" s="589" t="s">
        <v>19</v>
      </c>
      <c r="C188" s="482">
        <f>(M90+M95+M100+M105+M106+M107)</f>
        <v>342873539.64817911</v>
      </c>
      <c r="D188" s="533">
        <f>C188/($C$138+$C$143+$C$148+$C$153+$C$158+$C$163+$C$168+$C$173+$C$178+$C$183+$C$188)</f>
        <v>1.9929373660827924E-2</v>
      </c>
      <c r="E188" s="480">
        <f>D188*$A$20*$B$301*1000</f>
        <v>246499864.01783368</v>
      </c>
      <c r="F188" s="833">
        <f>SUM(E188:E192)</f>
        <v>546623244.64211142</v>
      </c>
      <c r="G188" s="482">
        <f>E188/$B$301/1000</f>
        <v>68472184.449398249</v>
      </c>
      <c r="H188" s="511" t="s">
        <v>14</v>
      </c>
    </row>
    <row r="189" spans="1:8" s="26" customFormat="1" ht="20.149999999999999" customHeight="1" x14ac:dyDescent="0.3">
      <c r="A189" s="859"/>
      <c r="B189" s="589" t="s">
        <v>95</v>
      </c>
      <c r="C189" s="482">
        <f>(M91+M96+M101+M108)</f>
        <v>327346462.91499668</v>
      </c>
      <c r="D189" s="534">
        <f>C189/($C$139+$C$144+$C$149+$C$154+$C$159+$C$164+$C$169+$C$174+$C$179+$C$184+$C$189)</f>
        <v>4.0949378592289309E-2</v>
      </c>
      <c r="E189" s="480">
        <f>D189*$A$17*$B$302*1000</f>
        <v>228660831.45970976</v>
      </c>
      <c r="F189" s="834"/>
      <c r="G189" s="482">
        <f>E189/$B$302/1000</f>
        <v>6017390.3015713105</v>
      </c>
      <c r="H189" s="511" t="s">
        <v>581</v>
      </c>
    </row>
    <row r="190" spans="1:8" s="26" customFormat="1" ht="20.149999999999999" customHeight="1" x14ac:dyDescent="0.3">
      <c r="A190" s="859"/>
      <c r="B190" s="589" t="s">
        <v>346</v>
      </c>
      <c r="C190" s="482">
        <f>(M92+M97+M102)</f>
        <v>37161719.205114789</v>
      </c>
      <c r="D190" s="532">
        <f>C190/($C$140+$C$145+$C$150+$C$155+$C$160+$C$165+$C$170+$C$175+$C$180+$C$185+$C$190)</f>
        <v>2.6443380894074917E-2</v>
      </c>
      <c r="E190" s="482">
        <f>C190</f>
        <v>37161719.205114789</v>
      </c>
      <c r="F190" s="834"/>
      <c r="G190" s="482">
        <f>E190/$B$303/1000</f>
        <v>960747.65266584256</v>
      </c>
      <c r="H190" s="511" t="s">
        <v>337</v>
      </c>
    </row>
    <row r="191" spans="1:8" s="26" customFormat="1" ht="20.149999999999999" customHeight="1" x14ac:dyDescent="0.3">
      <c r="A191" s="859"/>
      <c r="B191" s="589" t="s">
        <v>31</v>
      </c>
      <c r="C191" s="482">
        <f>(M93+M98+M103)</f>
        <v>3276226.7816812871</v>
      </c>
      <c r="D191" s="661">
        <f>C191/($C$141+$C$146+$C$151+$C$156+$C$161+$C$166+$C$171+$C$176+$C$181+$C$186+$C$191)</f>
        <v>4.679396503326818E-2</v>
      </c>
      <c r="E191" s="482">
        <f>C191</f>
        <v>3276226.7816812871</v>
      </c>
      <c r="F191" s="834"/>
      <c r="G191" s="482">
        <f>E191/$B$304/1000</f>
        <v>79135.912600997268</v>
      </c>
      <c r="H191" s="511" t="s">
        <v>337</v>
      </c>
    </row>
    <row r="192" spans="1:8" s="26" customFormat="1" ht="20.149999999999999" customHeight="1" x14ac:dyDescent="0.3">
      <c r="A192" s="860"/>
      <c r="B192" s="610" t="s">
        <v>13</v>
      </c>
      <c r="C192" s="611">
        <f>(M94+M99+M104)</f>
        <v>31024603.177771851</v>
      </c>
      <c r="D192" s="663">
        <f>C192/($C$142+$C$147+$C$152+$C$157+$C$162+$C$167+$C$172+$C$177+$C$182+$C$187+$C$192)</f>
        <v>5.42988054769813E-2</v>
      </c>
      <c r="E192" s="611">
        <f>C192</f>
        <v>31024603.177771851</v>
      </c>
      <c r="F192" s="835"/>
      <c r="G192" s="611">
        <f>E192/$B$305/1000</f>
        <v>1215221.4327368527</v>
      </c>
      <c r="H192" s="664" t="s">
        <v>337</v>
      </c>
    </row>
    <row r="193" spans="1:7" s="26" customFormat="1" x14ac:dyDescent="0.3"/>
    <row r="194" spans="1:7" s="26" customFormat="1" ht="25" customHeight="1" x14ac:dyDescent="0.3">
      <c r="A194" s="507" t="s">
        <v>377</v>
      </c>
    </row>
    <row r="195" spans="1:7" s="26" customFormat="1" ht="32.15" customHeight="1" x14ac:dyDescent="0.3">
      <c r="A195" s="829" t="s">
        <v>27</v>
      </c>
      <c r="B195" s="829" t="s">
        <v>379</v>
      </c>
      <c r="C195" s="829" t="s">
        <v>378</v>
      </c>
      <c r="D195" s="837"/>
    </row>
    <row r="196" spans="1:7" s="26" customFormat="1" ht="37" customHeight="1" x14ac:dyDescent="0.3">
      <c r="A196" s="837"/>
      <c r="B196" s="837"/>
      <c r="C196" s="531" t="s">
        <v>339</v>
      </c>
      <c r="D196" s="531" t="s">
        <v>24</v>
      </c>
    </row>
    <row r="197" spans="1:7" s="26" customFormat="1" ht="20.149999999999999" customHeight="1" x14ac:dyDescent="0.3">
      <c r="A197" s="589" t="s">
        <v>19</v>
      </c>
      <c r="B197" s="482">
        <f>E138+E143+E148+E153+E158+E163+E168+E173+E178+E183+E188</f>
        <v>12368670898.189852</v>
      </c>
      <c r="C197" s="482">
        <f>B197/$B$301/1000</f>
        <v>3435741916.1638474</v>
      </c>
      <c r="D197" s="511" t="s">
        <v>14</v>
      </c>
    </row>
    <row r="198" spans="1:7" s="26" customFormat="1" ht="20.149999999999999" customHeight="1" x14ac:dyDescent="0.3">
      <c r="A198" s="589" t="s">
        <v>95</v>
      </c>
      <c r="B198" s="482">
        <f>E139+E144+E149+E154+E159+E164+E169+E174+E179+E184+E189</f>
        <v>5583987824</v>
      </c>
      <c r="C198" s="482">
        <f>B198/$B$302/1000</f>
        <v>146947048</v>
      </c>
      <c r="D198" s="511" t="s">
        <v>581</v>
      </c>
    </row>
    <row r="199" spans="1:7" s="26" customFormat="1" ht="20.149999999999999" customHeight="1" x14ac:dyDescent="0.3">
      <c r="A199" s="589" t="s">
        <v>346</v>
      </c>
      <c r="B199" s="482">
        <f>E140+E145+E150+E155+E160+E165+E170+E175+E180+E185+E190</f>
        <v>1405331616.0280206</v>
      </c>
      <c r="C199" s="482">
        <f>B199/$B$303/1000</f>
        <v>36332254.809411079</v>
      </c>
      <c r="D199" s="511" t="s">
        <v>337</v>
      </c>
    </row>
    <row r="200" spans="1:7" s="26" customFormat="1" ht="20.149999999999999" customHeight="1" x14ac:dyDescent="0.3">
      <c r="A200" s="589" t="s">
        <v>31</v>
      </c>
      <c r="B200" s="482">
        <f>E141+E146+E151+E156+E161+E166+E171+E176+E181+E186+E191</f>
        <v>70013874.211173445</v>
      </c>
      <c r="C200" s="482">
        <f>B200/$B$304/1000</f>
        <v>1691156.3819124021</v>
      </c>
      <c r="D200" s="511" t="s">
        <v>337</v>
      </c>
    </row>
    <row r="201" spans="1:7" s="26" customFormat="1" ht="20.149999999999999" customHeight="1" x14ac:dyDescent="0.3">
      <c r="A201" s="589" t="s">
        <v>13</v>
      </c>
      <c r="B201" s="482">
        <f>E142+E147+E152+E157+E162+E167+E172+E177+E182+E187+E192</f>
        <v>571368060.59065151</v>
      </c>
      <c r="C201" s="482">
        <f>B201/$B$305/1000</f>
        <v>22380260.892700803</v>
      </c>
      <c r="D201" s="511" t="s">
        <v>337</v>
      </c>
    </row>
    <row r="202" spans="1:7" s="26" customFormat="1" x14ac:dyDescent="0.3">
      <c r="A202" s="612"/>
      <c r="B202" s="665"/>
      <c r="C202" s="665"/>
      <c r="D202" s="666"/>
    </row>
    <row r="203" spans="1:7" s="26" customFormat="1" x14ac:dyDescent="0.3">
      <c r="A203" s="612"/>
      <c r="B203" s="665"/>
      <c r="C203" s="665"/>
      <c r="D203" s="666"/>
    </row>
    <row r="204" spans="1:7" s="26" customFormat="1" x14ac:dyDescent="0.3">
      <c r="A204" s="612"/>
      <c r="B204" s="665"/>
      <c r="C204" s="665"/>
      <c r="D204" s="666"/>
    </row>
    <row r="205" spans="1:7" s="26" customFormat="1" x14ac:dyDescent="0.3">
      <c r="A205" s="612"/>
      <c r="B205" s="665"/>
      <c r="C205" s="665"/>
      <c r="D205" s="666"/>
    </row>
    <row r="206" spans="1:7" s="26" customFormat="1" ht="20.149999999999999" customHeight="1" x14ac:dyDescent="0.3">
      <c r="A206" s="507" t="s">
        <v>382</v>
      </c>
    </row>
    <row r="207" spans="1:7" s="26" customFormat="1" ht="20.149999999999999" customHeight="1" x14ac:dyDescent="0.3">
      <c r="A207" s="829" t="s">
        <v>322</v>
      </c>
      <c r="B207" s="829" t="s">
        <v>27</v>
      </c>
      <c r="C207" s="841" t="s">
        <v>721</v>
      </c>
      <c r="D207" s="841"/>
      <c r="E207" s="841"/>
      <c r="F207" s="841"/>
      <c r="G207" s="837"/>
    </row>
    <row r="208" spans="1:7" s="26" customFormat="1" ht="20.149999999999999" customHeight="1" x14ac:dyDescent="0.3">
      <c r="A208" s="870"/>
      <c r="B208" s="870"/>
      <c r="C208" s="537" t="s">
        <v>692</v>
      </c>
      <c r="D208" s="537" t="s">
        <v>693</v>
      </c>
      <c r="E208" s="537" t="s">
        <v>694</v>
      </c>
      <c r="F208" s="876" t="s">
        <v>691</v>
      </c>
      <c r="G208" s="877"/>
    </row>
    <row r="209" spans="1:7" s="26" customFormat="1" ht="20.149999999999999" customHeight="1" x14ac:dyDescent="0.3">
      <c r="A209" s="858" t="s">
        <v>329</v>
      </c>
      <c r="B209" s="589" t="s">
        <v>19</v>
      </c>
      <c r="C209" s="482">
        <f t="shared" ref="C209:F213" si="8">$G114*D301</f>
        <v>2194.1409761419714</v>
      </c>
      <c r="D209" s="513">
        <f t="shared" si="8"/>
        <v>0</v>
      </c>
      <c r="E209" s="513">
        <f t="shared" si="8"/>
        <v>0</v>
      </c>
      <c r="F209" s="482">
        <f t="shared" si="8"/>
        <v>2194.1409761419714</v>
      </c>
      <c r="G209" s="833">
        <f>SUM(F209:F213)</f>
        <v>335028.74412903964</v>
      </c>
    </row>
    <row r="210" spans="1:7" s="26" customFormat="1" ht="20.149999999999999" customHeight="1" x14ac:dyDescent="0.3">
      <c r="A210" s="859"/>
      <c r="B210" s="589" t="s">
        <v>95</v>
      </c>
      <c r="C210" s="482">
        <f t="shared" si="8"/>
        <v>241404.64962700731</v>
      </c>
      <c r="D210" s="513">
        <f t="shared" si="8"/>
        <v>4.7334245024903394</v>
      </c>
      <c r="E210" s="513">
        <f t="shared" si="8"/>
        <v>4.4775637185719424</v>
      </c>
      <c r="F210" s="482">
        <f t="shared" si="8"/>
        <v>242857.299227704</v>
      </c>
      <c r="G210" s="834"/>
    </row>
    <row r="211" spans="1:7" s="26" customFormat="1" ht="20.149999999999999" customHeight="1" x14ac:dyDescent="0.3">
      <c r="A211" s="859"/>
      <c r="B211" s="589" t="s">
        <v>346</v>
      </c>
      <c r="C211" s="482">
        <f t="shared" si="8"/>
        <v>73043.570064925254</v>
      </c>
      <c r="D211" s="513">
        <f t="shared" si="8"/>
        <v>0.68984119930550547</v>
      </c>
      <c r="E211" s="513">
        <f t="shared" si="8"/>
        <v>0.82250296840271819</v>
      </c>
      <c r="F211" s="482">
        <f t="shared" si="8"/>
        <v>73305.921979491904</v>
      </c>
      <c r="G211" s="834"/>
    </row>
    <row r="212" spans="1:7" s="26" customFormat="1" ht="20.149999999999999" customHeight="1" x14ac:dyDescent="0.3">
      <c r="A212" s="859"/>
      <c r="B212" s="589" t="s">
        <v>31</v>
      </c>
      <c r="C212" s="482">
        <f t="shared" si="8"/>
        <v>1127.5536385019436</v>
      </c>
      <c r="D212" s="513">
        <f t="shared" si="8"/>
        <v>2.0364561912107348E-2</v>
      </c>
      <c r="E212" s="513">
        <f t="shared" si="8"/>
        <v>2.2865473024120533E-2</v>
      </c>
      <c r="F212" s="482">
        <f t="shared" si="8"/>
        <v>1134.8766635109343</v>
      </c>
      <c r="G212" s="834"/>
    </row>
    <row r="213" spans="1:7" s="26" customFormat="1" ht="20.149999999999999" customHeight="1" x14ac:dyDescent="0.3">
      <c r="A213" s="860"/>
      <c r="B213" s="589" t="s">
        <v>13</v>
      </c>
      <c r="C213" s="482">
        <f t="shared" si="8"/>
        <v>15206.6858173252</v>
      </c>
      <c r="D213" s="513">
        <f t="shared" si="8"/>
        <v>0.27101024228896398</v>
      </c>
      <c r="E213" s="513">
        <f t="shared" si="8"/>
        <v>1.0840409691558559</v>
      </c>
      <c r="F213" s="482">
        <f t="shared" si="8"/>
        <v>15536.505282190868</v>
      </c>
      <c r="G213" s="835"/>
    </row>
    <row r="214" spans="1:7" s="26" customFormat="1" ht="20.149999999999999" customHeight="1" x14ac:dyDescent="0.3">
      <c r="A214" s="858" t="s">
        <v>330</v>
      </c>
      <c r="B214" s="589" t="s">
        <v>19</v>
      </c>
      <c r="C214" s="482">
        <f t="shared" ref="C214:F218" si="9">$G119*D301</f>
        <v>322.90694108576037</v>
      </c>
      <c r="D214" s="513">
        <f t="shared" si="9"/>
        <v>0</v>
      </c>
      <c r="E214" s="513">
        <f t="shared" si="9"/>
        <v>0</v>
      </c>
      <c r="F214" s="482">
        <f t="shared" si="9"/>
        <v>322.90694108576037</v>
      </c>
      <c r="G214" s="833">
        <f>SUM(F214:F218)</f>
        <v>54092.792977917074</v>
      </c>
    </row>
    <row r="215" spans="1:7" s="26" customFormat="1" ht="20.149999999999999" customHeight="1" x14ac:dyDescent="0.3">
      <c r="A215" s="859"/>
      <c r="B215" s="589" t="s">
        <v>95</v>
      </c>
      <c r="C215" s="482">
        <f t="shared" si="9"/>
        <v>22122.46573205779</v>
      </c>
      <c r="D215" s="513">
        <f t="shared" si="9"/>
        <v>0.43377383788348611</v>
      </c>
      <c r="E215" s="513">
        <f t="shared" si="9"/>
        <v>0.41032660340329769</v>
      </c>
      <c r="F215" s="482">
        <f t="shared" si="9"/>
        <v>22255.58740581906</v>
      </c>
      <c r="G215" s="834"/>
    </row>
    <row r="216" spans="1:7" s="26" customFormat="1" ht="20.149999999999999" customHeight="1" x14ac:dyDescent="0.3">
      <c r="A216" s="859"/>
      <c r="B216" s="589" t="s">
        <v>346</v>
      </c>
      <c r="C216" s="482">
        <f t="shared" si="9"/>
        <v>23593.552500919915</v>
      </c>
      <c r="D216" s="513">
        <f t="shared" si="9"/>
        <v>0.2228232346617936</v>
      </c>
      <c r="E216" s="513">
        <f t="shared" si="9"/>
        <v>0.26567385671213856</v>
      </c>
      <c r="F216" s="482">
        <f t="shared" si="9"/>
        <v>23678.293891086676</v>
      </c>
      <c r="G216" s="834"/>
    </row>
    <row r="217" spans="1:7" s="26" customFormat="1" ht="20.149999999999999" customHeight="1" x14ac:dyDescent="0.3">
      <c r="A217" s="859"/>
      <c r="B217" s="589" t="s">
        <v>31</v>
      </c>
      <c r="C217" s="482">
        <f t="shared" si="9"/>
        <v>850.77676144120414</v>
      </c>
      <c r="D217" s="513">
        <f t="shared" si="9"/>
        <v>1.5365739988006539E-2</v>
      </c>
      <c r="E217" s="513">
        <f t="shared" si="9"/>
        <v>1.7252760688288044E-2</v>
      </c>
      <c r="F217" s="482">
        <f t="shared" si="9"/>
        <v>856.30222762601431</v>
      </c>
      <c r="G217" s="834"/>
    </row>
    <row r="218" spans="1:7" s="26" customFormat="1" ht="20.149999999999999" customHeight="1" x14ac:dyDescent="0.3">
      <c r="A218" s="860"/>
      <c r="B218" s="589" t="s">
        <v>13</v>
      </c>
      <c r="C218" s="482">
        <f t="shared" si="9"/>
        <v>6831.5326564847574</v>
      </c>
      <c r="D218" s="513">
        <f t="shared" si="9"/>
        <v>0.1217500869472531</v>
      </c>
      <c r="E218" s="513">
        <f t="shared" si="9"/>
        <v>0.48700034778901241</v>
      </c>
      <c r="F218" s="482">
        <f t="shared" si="9"/>
        <v>6979.7025122995638</v>
      </c>
      <c r="G218" s="835"/>
    </row>
    <row r="219" spans="1:7" s="26" customFormat="1" ht="20.149999999999999" customHeight="1" x14ac:dyDescent="0.3">
      <c r="A219" s="858" t="s">
        <v>347</v>
      </c>
      <c r="B219" s="589" t="s">
        <v>19</v>
      </c>
      <c r="C219" s="482">
        <f t="shared" ref="C219:F223" si="10">$G124*D301</f>
        <v>1307.0161226545263</v>
      </c>
      <c r="D219" s="513">
        <f t="shared" si="10"/>
        <v>0</v>
      </c>
      <c r="E219" s="513">
        <f t="shared" si="10"/>
        <v>0</v>
      </c>
      <c r="F219" s="482">
        <f t="shared" si="10"/>
        <v>1307.0161226545263</v>
      </c>
      <c r="G219" s="833">
        <f>SUM(F219:F223)</f>
        <v>30888.205238095034</v>
      </c>
    </row>
    <row r="220" spans="1:7" s="26" customFormat="1" ht="20.149999999999999" customHeight="1" x14ac:dyDescent="0.3">
      <c r="A220" s="859"/>
      <c r="B220" s="589" t="s">
        <v>95</v>
      </c>
      <c r="C220" s="482">
        <f t="shared" si="10"/>
        <v>10613.532620997374</v>
      </c>
      <c r="D220" s="513">
        <f t="shared" si="10"/>
        <v>0.20810848276465438</v>
      </c>
      <c r="E220" s="513">
        <f t="shared" si="10"/>
        <v>0.19685937558818659</v>
      </c>
      <c r="F220" s="482">
        <f t="shared" si="10"/>
        <v>10677.399426991769</v>
      </c>
      <c r="G220" s="834"/>
    </row>
    <row r="221" spans="1:7" s="26" customFormat="1" ht="20.149999999999999" customHeight="1" x14ac:dyDescent="0.3">
      <c r="A221" s="859"/>
      <c r="B221" s="589" t="s">
        <v>346</v>
      </c>
      <c r="C221" s="482">
        <f t="shared" si="10"/>
        <v>3385.5749244634981</v>
      </c>
      <c r="D221" s="513">
        <f t="shared" si="10"/>
        <v>3.197419107738865E-2</v>
      </c>
      <c r="E221" s="513">
        <f t="shared" si="10"/>
        <v>3.8123073976886468E-2</v>
      </c>
      <c r="F221" s="482">
        <f t="shared" si="10"/>
        <v>3397.7349552855449</v>
      </c>
      <c r="G221" s="834"/>
    </row>
    <row r="222" spans="1:7" s="26" customFormat="1" ht="20.149999999999999" customHeight="1" x14ac:dyDescent="0.3">
      <c r="A222" s="859"/>
      <c r="B222" s="589" t="s">
        <v>31</v>
      </c>
      <c r="C222" s="482">
        <f t="shared" si="10"/>
        <v>3358.9591413723933</v>
      </c>
      <c r="D222" s="513">
        <f t="shared" si="10"/>
        <v>6.0665611868893035E-2</v>
      </c>
      <c r="E222" s="513">
        <f t="shared" si="10"/>
        <v>6.8115774729985173E-2</v>
      </c>
      <c r="F222" s="482">
        <f t="shared" si="10"/>
        <v>3380.7742825386517</v>
      </c>
      <c r="G222" s="834"/>
    </row>
    <row r="223" spans="1:7" s="26" customFormat="1" ht="20.149999999999999" customHeight="1" x14ac:dyDescent="0.3">
      <c r="A223" s="860"/>
      <c r="B223" s="589" t="s">
        <v>13</v>
      </c>
      <c r="C223" s="482">
        <f t="shared" si="10"/>
        <v>11867.876778631762</v>
      </c>
      <c r="D223" s="513">
        <f t="shared" si="10"/>
        <v>0.21150671486670466</v>
      </c>
      <c r="E223" s="513">
        <f t="shared" si="10"/>
        <v>0.84602685946681866</v>
      </c>
      <c r="F223" s="482">
        <f t="shared" si="10"/>
        <v>12125.280450624541</v>
      </c>
      <c r="G223" s="835"/>
    </row>
    <row r="224" spans="1:7" s="26" customFormat="1" ht="20.149999999999999" customHeight="1" x14ac:dyDescent="0.3">
      <c r="A224" s="613" t="s">
        <v>348</v>
      </c>
      <c r="B224" s="589" t="s">
        <v>19</v>
      </c>
      <c r="C224" s="482">
        <f>$G129*D301</f>
        <v>530.59834445458102</v>
      </c>
      <c r="D224" s="513">
        <f>$G129*E301</f>
        <v>0</v>
      </c>
      <c r="E224" s="513">
        <f>$G129*F301</f>
        <v>0</v>
      </c>
      <c r="F224" s="482">
        <f>$G129*G301</f>
        <v>530.59834445458102</v>
      </c>
      <c r="G224" s="614">
        <f>SUM(F224:F224)</f>
        <v>530.59834445458102</v>
      </c>
    </row>
    <row r="225" spans="1:7" s="26" customFormat="1" ht="20.149999999999999" customHeight="1" x14ac:dyDescent="0.3">
      <c r="A225" s="609" t="s">
        <v>97</v>
      </c>
      <c r="B225" s="589" t="s">
        <v>19</v>
      </c>
      <c r="C225" s="482">
        <f>$G130*D301</f>
        <v>996.34479250922277</v>
      </c>
      <c r="D225" s="513">
        <f>$G130*E301</f>
        <v>0</v>
      </c>
      <c r="E225" s="513">
        <f>$G130*F301</f>
        <v>0</v>
      </c>
      <c r="F225" s="482">
        <f>$G130*G301</f>
        <v>996.34479250922277</v>
      </c>
      <c r="G225" s="614">
        <f>F225+F226</f>
        <v>1486.0988731417033</v>
      </c>
    </row>
    <row r="226" spans="1:7" s="26" customFormat="1" ht="20.149999999999999" customHeight="1" x14ac:dyDescent="0.3">
      <c r="A226" s="874" t="s">
        <v>328</v>
      </c>
      <c r="B226" s="589" t="s">
        <v>19</v>
      </c>
      <c r="C226" s="482">
        <f t="shared" ref="C226:F227" si="11">$G131*D301</f>
        <v>489.75408063248051</v>
      </c>
      <c r="D226" s="513">
        <f t="shared" si="11"/>
        <v>0</v>
      </c>
      <c r="E226" s="513">
        <f t="shared" si="11"/>
        <v>0</v>
      </c>
      <c r="F226" s="482">
        <f t="shared" si="11"/>
        <v>489.75408063248051</v>
      </c>
      <c r="G226" s="833">
        <f>F227</f>
        <v>3167.3772455251597</v>
      </c>
    </row>
    <row r="227" spans="1:7" s="26" customFormat="1" ht="20.149999999999999" customHeight="1" x14ac:dyDescent="0.3">
      <c r="A227" s="875"/>
      <c r="B227" s="589" t="s">
        <v>20</v>
      </c>
      <c r="C227" s="482">
        <f t="shared" si="11"/>
        <v>3148.4315959375226</v>
      </c>
      <c r="D227" s="513">
        <f t="shared" si="11"/>
        <v>6.1733952861520051E-2</v>
      </c>
      <c r="E227" s="513">
        <f t="shared" si="11"/>
        <v>5.8396982436573028E-2</v>
      </c>
      <c r="F227" s="482">
        <f t="shared" si="11"/>
        <v>3167.3772455251597</v>
      </c>
      <c r="G227" s="835"/>
    </row>
    <row r="228" spans="1:7" s="26" customFormat="1" ht="11.25" customHeight="1" x14ac:dyDescent="0.3"/>
    <row r="229" spans="1:7" s="26" customFormat="1" ht="28" customHeight="1" x14ac:dyDescent="0.3">
      <c r="A229" s="507" t="s">
        <v>381</v>
      </c>
    </row>
    <row r="230" spans="1:7" s="26" customFormat="1" ht="28" customHeight="1" x14ac:dyDescent="0.3">
      <c r="A230" s="829" t="s">
        <v>322</v>
      </c>
      <c r="B230" s="878" t="s">
        <v>338</v>
      </c>
      <c r="C230" s="841" t="s">
        <v>721</v>
      </c>
      <c r="D230" s="841"/>
      <c r="E230" s="841"/>
      <c r="F230" s="841"/>
      <c r="G230" s="837"/>
    </row>
    <row r="231" spans="1:7" s="26" customFormat="1" ht="25" customHeight="1" x14ac:dyDescent="0.3">
      <c r="A231" s="870"/>
      <c r="B231" s="879"/>
      <c r="C231" s="537" t="s">
        <v>692</v>
      </c>
      <c r="D231" s="537" t="s">
        <v>693</v>
      </c>
      <c r="E231" s="537" t="s">
        <v>694</v>
      </c>
      <c r="F231" s="876" t="s">
        <v>691</v>
      </c>
      <c r="G231" s="877"/>
    </row>
    <row r="232" spans="1:7" s="506" customFormat="1" ht="20.149999999999999" customHeight="1" x14ac:dyDescent="0.3">
      <c r="A232" s="858" t="s">
        <v>342</v>
      </c>
      <c r="B232" s="615" t="s">
        <v>19</v>
      </c>
      <c r="C232" s="513">
        <f t="shared" ref="C232:F236" si="12">$G138*D301</f>
        <v>113.92029357463718</v>
      </c>
      <c r="D232" s="513">
        <f t="shared" si="12"/>
        <v>0</v>
      </c>
      <c r="E232" s="513">
        <f t="shared" si="12"/>
        <v>0</v>
      </c>
      <c r="F232" s="513">
        <f t="shared" si="12"/>
        <v>113.92029357463718</v>
      </c>
      <c r="G232" s="833">
        <f>SUM(F232:F236)</f>
        <v>6300.9894928929389</v>
      </c>
    </row>
    <row r="233" spans="1:7" s="506" customFormat="1" ht="20.149999999999999" customHeight="1" x14ac:dyDescent="0.3">
      <c r="A233" s="859"/>
      <c r="B233" s="615" t="s">
        <v>95</v>
      </c>
      <c r="C233" s="513">
        <f t="shared" si="12"/>
        <v>2410.9968075312418</v>
      </c>
      <c r="D233" s="513">
        <f t="shared" si="12"/>
        <v>4.7274447206494936E-2</v>
      </c>
      <c r="E233" s="513">
        <f t="shared" si="12"/>
        <v>4.4719071681819537E-2</v>
      </c>
      <c r="F233" s="513">
        <f t="shared" si="12"/>
        <v>2425.5049520725861</v>
      </c>
      <c r="G233" s="834"/>
    </row>
    <row r="234" spans="1:7" s="506" customFormat="1" ht="20.149999999999999" customHeight="1" x14ac:dyDescent="0.3">
      <c r="A234" s="859"/>
      <c r="B234" s="615" t="s">
        <v>346</v>
      </c>
      <c r="C234" s="513">
        <f t="shared" si="12"/>
        <v>2498.9469704190337</v>
      </c>
      <c r="D234" s="513">
        <f t="shared" si="12"/>
        <v>2.3600661544095489E-2</v>
      </c>
      <c r="E234" s="513">
        <f t="shared" si="12"/>
        <v>2.8139250302575393E-2</v>
      </c>
      <c r="F234" s="513">
        <f t="shared" si="12"/>
        <v>2507.9224835478039</v>
      </c>
      <c r="G234" s="834"/>
    </row>
    <row r="235" spans="1:7" s="506" customFormat="1" ht="20.149999999999999" customHeight="1" x14ac:dyDescent="0.3">
      <c r="A235" s="859"/>
      <c r="B235" s="615" t="s">
        <v>31</v>
      </c>
      <c r="C235" s="513">
        <f t="shared" si="12"/>
        <v>365.38822088740164</v>
      </c>
      <c r="D235" s="513">
        <f t="shared" si="12"/>
        <v>6.5992169171679004E-3</v>
      </c>
      <c r="E235" s="513">
        <f t="shared" si="12"/>
        <v>7.4096470648902747E-3</v>
      </c>
      <c r="F235" s="513">
        <f t="shared" si="12"/>
        <v>367.76127613566814</v>
      </c>
      <c r="G235" s="834"/>
    </row>
    <row r="236" spans="1:7" s="506" customFormat="1" ht="20.149999999999999" customHeight="1" x14ac:dyDescent="0.3">
      <c r="A236" s="860"/>
      <c r="B236" s="615" t="s">
        <v>13</v>
      </c>
      <c r="C236" s="513">
        <f t="shared" si="12"/>
        <v>867.07441611722845</v>
      </c>
      <c r="D236" s="513">
        <f t="shared" si="12"/>
        <v>1.5452811376346645E-2</v>
      </c>
      <c r="E236" s="513">
        <f t="shared" si="12"/>
        <v>6.1811245505386581E-2</v>
      </c>
      <c r="F236" s="513">
        <f t="shared" si="12"/>
        <v>885.88048756224225</v>
      </c>
      <c r="G236" s="835"/>
    </row>
    <row r="237" spans="1:7" s="506" customFormat="1" ht="20.149999999999999" customHeight="1" x14ac:dyDescent="0.3">
      <c r="A237" s="858" t="s">
        <v>343</v>
      </c>
      <c r="B237" s="615" t="s">
        <v>19</v>
      </c>
      <c r="C237" s="513">
        <f t="shared" ref="C237:F241" si="13">$G143*D301</f>
        <v>1682.4806470080262</v>
      </c>
      <c r="D237" s="513">
        <f t="shared" si="13"/>
        <v>0</v>
      </c>
      <c r="E237" s="513">
        <f t="shared" si="13"/>
        <v>0</v>
      </c>
      <c r="F237" s="513">
        <f t="shared" si="13"/>
        <v>1682.4806470080262</v>
      </c>
      <c r="G237" s="833">
        <f>SUM(F237:F241)</f>
        <v>85832.796465252584</v>
      </c>
    </row>
    <row r="238" spans="1:7" s="506" customFormat="1" ht="20.149999999999999" customHeight="1" x14ac:dyDescent="0.3">
      <c r="A238" s="859"/>
      <c r="B238" s="615" t="s">
        <v>95</v>
      </c>
      <c r="C238" s="513">
        <f t="shared" si="13"/>
        <v>45281.204892130947</v>
      </c>
      <c r="D238" s="513">
        <f t="shared" si="13"/>
        <v>0.88786676259080288</v>
      </c>
      <c r="E238" s="513">
        <f t="shared" si="13"/>
        <v>0.83987396461292174</v>
      </c>
      <c r="F238" s="513">
        <f t="shared" si="13"/>
        <v>45553.684002650371</v>
      </c>
      <c r="G238" s="834"/>
    </row>
    <row r="239" spans="1:7" s="506" customFormat="1" ht="20.149999999999999" customHeight="1" x14ac:dyDescent="0.3">
      <c r="A239" s="859"/>
      <c r="B239" s="615" t="s">
        <v>346</v>
      </c>
      <c r="C239" s="513">
        <f t="shared" si="13"/>
        <v>30564.195658215111</v>
      </c>
      <c r="D239" s="513">
        <f t="shared" si="13"/>
        <v>0.28865568002673186</v>
      </c>
      <c r="E239" s="513">
        <f t="shared" si="13"/>
        <v>0.34416638772418034</v>
      </c>
      <c r="F239" s="513">
        <f t="shared" si="13"/>
        <v>30673.973633757585</v>
      </c>
      <c r="G239" s="834"/>
    </row>
    <row r="240" spans="1:7" s="506" customFormat="1" ht="20.149999999999999" customHeight="1" x14ac:dyDescent="0.3">
      <c r="A240" s="859"/>
      <c r="B240" s="615" t="s">
        <v>31</v>
      </c>
      <c r="C240" s="513">
        <f t="shared" si="13"/>
        <v>306.95829677583492</v>
      </c>
      <c r="D240" s="513">
        <f t="shared" si="13"/>
        <v>5.5439236109704028E-3</v>
      </c>
      <c r="E240" s="513">
        <f t="shared" si="13"/>
        <v>6.2247563351246638E-3</v>
      </c>
      <c r="F240" s="513">
        <f t="shared" si="13"/>
        <v>308.95187225397638</v>
      </c>
      <c r="G240" s="834"/>
    </row>
    <row r="241" spans="1:7" s="506" customFormat="1" ht="20.149999999999999" customHeight="1" x14ac:dyDescent="0.3">
      <c r="A241" s="860"/>
      <c r="B241" s="615" t="s">
        <v>13</v>
      </c>
      <c r="C241" s="513">
        <f t="shared" si="13"/>
        <v>7452.0773914275505</v>
      </c>
      <c r="D241" s="513">
        <f t="shared" si="13"/>
        <v>0.13280930004524347</v>
      </c>
      <c r="E241" s="513">
        <f t="shared" si="13"/>
        <v>0.53123720018097387</v>
      </c>
      <c r="F241" s="513">
        <f t="shared" si="13"/>
        <v>7613.7063095826106</v>
      </c>
      <c r="G241" s="835"/>
    </row>
    <row r="242" spans="1:7" s="506" customFormat="1" ht="20.149999999999999" customHeight="1" x14ac:dyDescent="0.3">
      <c r="A242" s="858" t="s">
        <v>344</v>
      </c>
      <c r="B242" s="615" t="s">
        <v>19</v>
      </c>
      <c r="C242" s="513">
        <f t="shared" ref="C242:F246" si="14">$G148*D301</f>
        <v>261.32330020323565</v>
      </c>
      <c r="D242" s="513">
        <f t="shared" si="14"/>
        <v>0</v>
      </c>
      <c r="E242" s="513">
        <f t="shared" si="14"/>
        <v>0</v>
      </c>
      <c r="F242" s="513">
        <f t="shared" si="14"/>
        <v>261.32330020323565</v>
      </c>
      <c r="G242" s="833">
        <f>SUM(F242:F246)</f>
        <v>32529.239542772793</v>
      </c>
    </row>
    <row r="243" spans="1:7" s="506" customFormat="1" ht="20.149999999999999" customHeight="1" x14ac:dyDescent="0.3">
      <c r="A243" s="859"/>
      <c r="B243" s="615" t="s">
        <v>95</v>
      </c>
      <c r="C243" s="513">
        <f t="shared" si="14"/>
        <v>18784.204510284282</v>
      </c>
      <c r="D243" s="513">
        <f t="shared" si="14"/>
        <v>0.36831773549577024</v>
      </c>
      <c r="E243" s="513">
        <f t="shared" si="14"/>
        <v>0.3484086687122151</v>
      </c>
      <c r="F243" s="513">
        <f t="shared" si="14"/>
        <v>18897.238236947916</v>
      </c>
      <c r="G243" s="834"/>
    </row>
    <row r="244" spans="1:7" s="506" customFormat="1" ht="20.149999999999999" customHeight="1" x14ac:dyDescent="0.3">
      <c r="A244" s="859"/>
      <c r="B244" s="615" t="s">
        <v>346</v>
      </c>
      <c r="C244" s="513">
        <f t="shared" si="14"/>
        <v>8735.7851842121745</v>
      </c>
      <c r="D244" s="513">
        <f t="shared" si="14"/>
        <v>8.250287496894898E-2</v>
      </c>
      <c r="E244" s="513">
        <f t="shared" si="14"/>
        <v>9.8368812462977628E-2</v>
      </c>
      <c r="F244" s="513">
        <f t="shared" si="14"/>
        <v>8767.1616622003658</v>
      </c>
      <c r="G244" s="834"/>
    </row>
    <row r="245" spans="1:7" s="506" customFormat="1" ht="20.149999999999999" customHeight="1" x14ac:dyDescent="0.3">
      <c r="A245" s="859"/>
      <c r="B245" s="615" t="s">
        <v>31</v>
      </c>
      <c r="C245" s="513">
        <f t="shared" si="14"/>
        <v>3293.3313909071994</v>
      </c>
      <c r="D245" s="513">
        <f t="shared" si="14"/>
        <v>5.9480319797753603E-2</v>
      </c>
      <c r="E245" s="513">
        <f t="shared" si="14"/>
        <v>6.6784920474670717E-2</v>
      </c>
      <c r="F245" s="513">
        <f t="shared" si="14"/>
        <v>3314.7203052035952</v>
      </c>
      <c r="G245" s="834"/>
    </row>
    <row r="246" spans="1:7" s="506" customFormat="1" ht="20.149999999999999" customHeight="1" x14ac:dyDescent="0.3">
      <c r="A246" s="860"/>
      <c r="B246" s="615" t="s">
        <v>13</v>
      </c>
      <c r="C246" s="513">
        <f t="shared" si="14"/>
        <v>1261.436602364807</v>
      </c>
      <c r="D246" s="513">
        <f t="shared" si="14"/>
        <v>2.2481048358976758E-2</v>
      </c>
      <c r="E246" s="513">
        <f t="shared" si="14"/>
        <v>8.9924193435907032E-2</v>
      </c>
      <c r="F246" s="513">
        <f t="shared" si="14"/>
        <v>1288.7960382176816</v>
      </c>
      <c r="G246" s="835"/>
    </row>
    <row r="247" spans="1:7" s="506" customFormat="1" ht="20.149999999999999" customHeight="1" x14ac:dyDescent="0.3">
      <c r="A247" s="858" t="s">
        <v>345</v>
      </c>
      <c r="B247" s="615" t="s">
        <v>19</v>
      </c>
      <c r="C247" s="513">
        <f t="shared" ref="C247:F251" si="15">$G153*D301</f>
        <v>172.4683578173466</v>
      </c>
      <c r="D247" s="513">
        <f t="shared" si="15"/>
        <v>0</v>
      </c>
      <c r="E247" s="513">
        <f t="shared" si="15"/>
        <v>0</v>
      </c>
      <c r="F247" s="513">
        <f t="shared" si="15"/>
        <v>172.4683578173466</v>
      </c>
      <c r="G247" s="833">
        <f>SUM(F247:F251)</f>
        <v>15850.328183381438</v>
      </c>
    </row>
    <row r="248" spans="1:7" s="506" customFormat="1" ht="20.149999999999999" customHeight="1" x14ac:dyDescent="0.3">
      <c r="A248" s="859"/>
      <c r="B248" s="615" t="s">
        <v>95</v>
      </c>
      <c r="C248" s="513">
        <f t="shared" si="15"/>
        <v>11547.816986213204</v>
      </c>
      <c r="D248" s="513">
        <f t="shared" si="15"/>
        <v>0.22642778404339617</v>
      </c>
      <c r="E248" s="513">
        <f t="shared" si="15"/>
        <v>0.21418844436537476</v>
      </c>
      <c r="F248" s="513">
        <f t="shared" si="15"/>
        <v>11617.305837235172</v>
      </c>
      <c r="G248" s="834"/>
    </row>
    <row r="249" spans="1:7" s="506" customFormat="1" ht="20.149999999999999" customHeight="1" x14ac:dyDescent="0.3">
      <c r="A249" s="859"/>
      <c r="B249" s="615" t="s">
        <v>346</v>
      </c>
      <c r="C249" s="513">
        <f t="shared" si="15"/>
        <v>2441.2649809224845</v>
      </c>
      <c r="D249" s="513">
        <f t="shared" si="15"/>
        <v>2.3055898839079041E-2</v>
      </c>
      <c r="E249" s="513">
        <f t="shared" si="15"/>
        <v>2.7489725538901933E-2</v>
      </c>
      <c r="F249" s="513">
        <f t="shared" si="15"/>
        <v>2450.0333166040541</v>
      </c>
      <c r="G249" s="834"/>
    </row>
    <row r="250" spans="1:7" s="506" customFormat="1" ht="20.149999999999999" customHeight="1" x14ac:dyDescent="0.3">
      <c r="A250" s="859"/>
      <c r="B250" s="615" t="s">
        <v>31</v>
      </c>
      <c r="C250" s="513">
        <f t="shared" si="15"/>
        <v>74.297164102518039</v>
      </c>
      <c r="D250" s="513">
        <f t="shared" si="15"/>
        <v>1.3418689334104971E-3</v>
      </c>
      <c r="E250" s="513">
        <f t="shared" si="15"/>
        <v>1.5066598550574004E-3</v>
      </c>
      <c r="F250" s="513">
        <f t="shared" si="15"/>
        <v>74.779695462660428</v>
      </c>
      <c r="G250" s="834"/>
    </row>
    <row r="251" spans="1:7" s="506" customFormat="1" ht="20.149999999999999" customHeight="1" x14ac:dyDescent="0.3">
      <c r="A251" s="860"/>
      <c r="B251" s="615" t="s">
        <v>13</v>
      </c>
      <c r="C251" s="513">
        <f t="shared" si="15"/>
        <v>1503.1392258837784</v>
      </c>
      <c r="D251" s="513">
        <f t="shared" si="15"/>
        <v>2.6788619867235651E-2</v>
      </c>
      <c r="E251" s="513">
        <f t="shared" si="15"/>
        <v>0.1071544794689426</v>
      </c>
      <c r="F251" s="513">
        <f t="shared" si="15"/>
        <v>1535.740976262204</v>
      </c>
      <c r="G251" s="835"/>
    </row>
    <row r="252" spans="1:7" s="506" customFormat="1" ht="20.149999999999999" customHeight="1" x14ac:dyDescent="0.3">
      <c r="A252" s="858" t="s">
        <v>352</v>
      </c>
      <c r="B252" s="615" t="s">
        <v>19</v>
      </c>
      <c r="C252" s="513">
        <f t="shared" ref="C252:F256" si="16">$G158*D301</f>
        <v>1140.9787651588156</v>
      </c>
      <c r="D252" s="513">
        <f t="shared" si="16"/>
        <v>0</v>
      </c>
      <c r="E252" s="513">
        <f t="shared" si="16"/>
        <v>0</v>
      </c>
      <c r="F252" s="513">
        <f t="shared" si="16"/>
        <v>1140.9787651588156</v>
      </c>
      <c r="G252" s="833">
        <f>SUM(F252:F256)</f>
        <v>59383.62461697634</v>
      </c>
    </row>
    <row r="253" spans="1:7" s="506" customFormat="1" ht="20.149999999999999" customHeight="1" x14ac:dyDescent="0.3">
      <c r="A253" s="859"/>
      <c r="B253" s="615" t="s">
        <v>95</v>
      </c>
      <c r="C253" s="513">
        <f t="shared" si="16"/>
        <v>41242.407293427612</v>
      </c>
      <c r="D253" s="513">
        <f t="shared" si="16"/>
        <v>0.80867465281230611</v>
      </c>
      <c r="E253" s="513">
        <f t="shared" si="16"/>
        <v>0.76496250941704635</v>
      </c>
      <c r="F253" s="513">
        <f t="shared" si="16"/>
        <v>41490.582987554197</v>
      </c>
      <c r="G253" s="834"/>
    </row>
    <row r="254" spans="1:7" s="506" customFormat="1" ht="20.149999999999999" customHeight="1" x14ac:dyDescent="0.3">
      <c r="A254" s="859"/>
      <c r="B254" s="615" t="s">
        <v>346</v>
      </c>
      <c r="C254" s="513">
        <f t="shared" si="16"/>
        <v>10699.564185921614</v>
      </c>
      <c r="D254" s="513">
        <f t="shared" si="16"/>
        <v>0.10104928036104684</v>
      </c>
      <c r="E254" s="513">
        <f t="shared" si="16"/>
        <v>0.12048183427663277</v>
      </c>
      <c r="F254" s="513">
        <f t="shared" si="16"/>
        <v>10737.994004545077</v>
      </c>
      <c r="G254" s="834"/>
    </row>
    <row r="255" spans="1:7" s="506" customFormat="1" ht="20.149999999999999" customHeight="1" x14ac:dyDescent="0.3">
      <c r="A255" s="859"/>
      <c r="B255" s="615" t="s">
        <v>31</v>
      </c>
      <c r="C255" s="513">
        <f t="shared" si="16"/>
        <v>258.36549928715777</v>
      </c>
      <c r="D255" s="513">
        <f t="shared" si="16"/>
        <v>4.6662970403574125E-3</v>
      </c>
      <c r="E255" s="513">
        <f t="shared" si="16"/>
        <v>5.2393510628574455E-3</v>
      </c>
      <c r="F255" s="513">
        <f t="shared" si="16"/>
        <v>260.04348332989827</v>
      </c>
      <c r="G255" s="834"/>
    </row>
    <row r="256" spans="1:7" s="506" customFormat="1" ht="20.149999999999999" customHeight="1" x14ac:dyDescent="0.3">
      <c r="A256" s="860"/>
      <c r="B256" s="615" t="s">
        <v>13</v>
      </c>
      <c r="C256" s="513">
        <f t="shared" si="16"/>
        <v>5631.8750255858895</v>
      </c>
      <c r="D256" s="513">
        <f t="shared" si="16"/>
        <v>0.10037004996093665</v>
      </c>
      <c r="E256" s="513">
        <f t="shared" si="16"/>
        <v>0.40148019984374661</v>
      </c>
      <c r="F256" s="513">
        <f t="shared" si="16"/>
        <v>5754.0253763883493</v>
      </c>
      <c r="G256" s="835"/>
    </row>
    <row r="257" spans="1:7" s="506" customFormat="1" ht="20.149999999999999" customHeight="1" x14ac:dyDescent="0.3">
      <c r="A257" s="858" t="s">
        <v>359</v>
      </c>
      <c r="B257" s="615" t="s">
        <v>19</v>
      </c>
      <c r="C257" s="513">
        <f t="shared" ref="C257:F261" si="17">$G163*D301</f>
        <v>642.9223524172329</v>
      </c>
      <c r="D257" s="513">
        <f t="shared" si="17"/>
        <v>0</v>
      </c>
      <c r="E257" s="513">
        <f t="shared" si="17"/>
        <v>0</v>
      </c>
      <c r="F257" s="513">
        <f t="shared" si="17"/>
        <v>642.9223524172329</v>
      </c>
      <c r="G257" s="833">
        <f>SUM(F257:F261)</f>
        <v>78722.767078921548</v>
      </c>
    </row>
    <row r="258" spans="1:7" s="506" customFormat="1" ht="20.149999999999999" customHeight="1" x14ac:dyDescent="0.3">
      <c r="A258" s="859"/>
      <c r="B258" s="615" t="s">
        <v>95</v>
      </c>
      <c r="C258" s="513">
        <f t="shared" si="17"/>
        <v>59266.005553936477</v>
      </c>
      <c r="D258" s="513">
        <f t="shared" si="17"/>
        <v>1.1620785402732643</v>
      </c>
      <c r="E258" s="513">
        <f t="shared" si="17"/>
        <v>1.099263484042277</v>
      </c>
      <c r="F258" s="513">
        <f t="shared" si="17"/>
        <v>59622.638035687909</v>
      </c>
      <c r="G258" s="834"/>
    </row>
    <row r="259" spans="1:7" s="506" customFormat="1" ht="20.149999999999999" customHeight="1" x14ac:dyDescent="0.3">
      <c r="A259" s="859"/>
      <c r="B259" s="615" t="s">
        <v>346</v>
      </c>
      <c r="C259" s="513">
        <f t="shared" si="17"/>
        <v>12891.174144382509</v>
      </c>
      <c r="D259" s="513">
        <f t="shared" si="17"/>
        <v>0.12174737659060851</v>
      </c>
      <c r="E259" s="513">
        <f t="shared" si="17"/>
        <v>0.14516033362726399</v>
      </c>
      <c r="F259" s="513">
        <f t="shared" si="17"/>
        <v>12937.475608218199</v>
      </c>
      <c r="G259" s="834"/>
    </row>
    <row r="260" spans="1:7" s="506" customFormat="1" ht="20.149999999999999" customHeight="1" x14ac:dyDescent="0.3">
      <c r="A260" s="859"/>
      <c r="B260" s="615" t="s">
        <v>31</v>
      </c>
      <c r="C260" s="513">
        <f t="shared" si="17"/>
        <v>263.33831266822682</v>
      </c>
      <c r="D260" s="513">
        <f t="shared" si="17"/>
        <v>4.7561102097873663E-3</v>
      </c>
      <c r="E260" s="513">
        <f t="shared" si="17"/>
        <v>5.3401939197612542E-3</v>
      </c>
      <c r="F260" s="513">
        <f t="shared" si="17"/>
        <v>265.04859321156039</v>
      </c>
      <c r="G260" s="834"/>
    </row>
    <row r="261" spans="1:7" s="506" customFormat="1" ht="20.149999999999999" customHeight="1" x14ac:dyDescent="0.3">
      <c r="A261" s="860"/>
      <c r="B261" s="615" t="s">
        <v>13</v>
      </c>
      <c r="C261" s="513">
        <f t="shared" si="17"/>
        <v>5143.132527847044</v>
      </c>
      <c r="D261" s="513">
        <f t="shared" si="17"/>
        <v>9.1659787624996825E-2</v>
      </c>
      <c r="E261" s="513">
        <f t="shared" si="17"/>
        <v>0.3666391504999873</v>
      </c>
      <c r="F261" s="513">
        <f t="shared" si="17"/>
        <v>5254.6824893866651</v>
      </c>
      <c r="G261" s="835"/>
    </row>
    <row r="262" spans="1:7" s="506" customFormat="1" ht="20.149999999999999" customHeight="1" x14ac:dyDescent="0.3">
      <c r="A262" s="858" t="s">
        <v>354</v>
      </c>
      <c r="B262" s="615" t="s">
        <v>19</v>
      </c>
      <c r="C262" s="513">
        <f t="shared" ref="C262:F266" si="18">$G168*D301</f>
        <v>527.11943338437254</v>
      </c>
      <c r="D262" s="513">
        <f t="shared" si="18"/>
        <v>0</v>
      </c>
      <c r="E262" s="513">
        <f t="shared" si="18"/>
        <v>0</v>
      </c>
      <c r="F262" s="513">
        <f t="shared" si="18"/>
        <v>527.11943338437254</v>
      </c>
      <c r="G262" s="833">
        <f>SUM(F262:F266)</f>
        <v>50647.162971087382</v>
      </c>
    </row>
    <row r="263" spans="1:7" s="506" customFormat="1" ht="20.149999999999999" customHeight="1" x14ac:dyDescent="0.3">
      <c r="A263" s="859"/>
      <c r="B263" s="615" t="s">
        <v>95</v>
      </c>
      <c r="C263" s="513">
        <f t="shared" si="18"/>
        <v>37708.431202674321</v>
      </c>
      <c r="D263" s="513">
        <f t="shared" si="18"/>
        <v>0.7393810039740063</v>
      </c>
      <c r="E263" s="513">
        <f t="shared" si="18"/>
        <v>0.69941446321865464</v>
      </c>
      <c r="F263" s="513">
        <f t="shared" si="18"/>
        <v>37935.341237812834</v>
      </c>
      <c r="G263" s="834"/>
    </row>
    <row r="264" spans="1:7" s="506" customFormat="1" ht="20.149999999999999" customHeight="1" x14ac:dyDescent="0.3">
      <c r="A264" s="859"/>
      <c r="B264" s="615" t="s">
        <v>346</v>
      </c>
      <c r="C264" s="513">
        <f t="shared" si="18"/>
        <v>8366.8191460434118</v>
      </c>
      <c r="D264" s="513">
        <f t="shared" si="18"/>
        <v>7.9018270176944683E-2</v>
      </c>
      <c r="E264" s="513">
        <f t="shared" si="18"/>
        <v>9.4214091364818661E-2</v>
      </c>
      <c r="F264" s="513">
        <f t="shared" si="18"/>
        <v>8396.8704020245514</v>
      </c>
      <c r="G264" s="834"/>
    </row>
    <row r="265" spans="1:7" s="506" customFormat="1" ht="20.149999999999999" customHeight="1" x14ac:dyDescent="0.3">
      <c r="A265" s="859"/>
      <c r="B265" s="615" t="s">
        <v>31</v>
      </c>
      <c r="C265" s="513">
        <f t="shared" si="18"/>
        <v>202.56815512022683</v>
      </c>
      <c r="D265" s="513">
        <f t="shared" si="18"/>
        <v>3.6585503301181654E-3</v>
      </c>
      <c r="E265" s="513">
        <f t="shared" si="18"/>
        <v>4.1078459846940803E-3</v>
      </c>
      <c r="F265" s="513">
        <f t="shared" si="18"/>
        <v>203.88375698191865</v>
      </c>
      <c r="G265" s="834"/>
    </row>
    <row r="266" spans="1:7" s="506" customFormat="1" ht="20.149999999999999" customHeight="1" x14ac:dyDescent="0.3">
      <c r="A266" s="860"/>
      <c r="B266" s="615" t="s">
        <v>13</v>
      </c>
      <c r="C266" s="513">
        <f t="shared" si="18"/>
        <v>3507.8656605277488</v>
      </c>
      <c r="D266" s="513">
        <f t="shared" si="18"/>
        <v>6.2516417712375719E-2</v>
      </c>
      <c r="E266" s="513">
        <f t="shared" si="18"/>
        <v>0.25006567084950287</v>
      </c>
      <c r="F266" s="513">
        <f t="shared" si="18"/>
        <v>3583.94814088371</v>
      </c>
      <c r="G266" s="835"/>
    </row>
    <row r="267" spans="1:7" s="506" customFormat="1" ht="20.149999999999999" customHeight="1" x14ac:dyDescent="0.3">
      <c r="A267" s="858" t="s">
        <v>355</v>
      </c>
      <c r="B267" s="615" t="s">
        <v>19</v>
      </c>
      <c r="C267" s="513">
        <f t="shared" ref="C267:F271" si="19">$G173*D301</f>
        <v>212.20498385643489</v>
      </c>
      <c r="D267" s="513">
        <f t="shared" si="19"/>
        <v>0</v>
      </c>
      <c r="E267" s="513">
        <f t="shared" si="19"/>
        <v>0</v>
      </c>
      <c r="F267" s="513">
        <f t="shared" si="19"/>
        <v>212.20498385643489</v>
      </c>
      <c r="G267" s="833">
        <f>SUM(F267:F271)</f>
        <v>16022.595111921848</v>
      </c>
    </row>
    <row r="268" spans="1:7" s="506" customFormat="1" ht="20.149999999999999" customHeight="1" x14ac:dyDescent="0.3">
      <c r="A268" s="859"/>
      <c r="B268" s="615" t="s">
        <v>95</v>
      </c>
      <c r="C268" s="513">
        <f t="shared" si="19"/>
        <v>10701.45229343458</v>
      </c>
      <c r="D268" s="513">
        <f t="shared" si="19"/>
        <v>0.20983239791048197</v>
      </c>
      <c r="E268" s="513">
        <f t="shared" si="19"/>
        <v>0.198490106131537</v>
      </c>
      <c r="F268" s="513">
        <f t="shared" si="19"/>
        <v>10765.84815500954</v>
      </c>
      <c r="G268" s="834"/>
    </row>
    <row r="269" spans="1:7" s="506" customFormat="1" ht="20.149999999999999" customHeight="1" x14ac:dyDescent="0.3">
      <c r="A269" s="859"/>
      <c r="B269" s="615" t="s">
        <v>346</v>
      </c>
      <c r="C269" s="513">
        <f t="shared" si="19"/>
        <v>3572.6973378837356</v>
      </c>
      <c r="D269" s="513">
        <f t="shared" si="19"/>
        <v>3.3741420553932845E-2</v>
      </c>
      <c r="E269" s="513">
        <f t="shared" si="19"/>
        <v>4.0230155275843012E-2</v>
      </c>
      <c r="F269" s="513">
        <f t="shared" si="19"/>
        <v>3585.529459669785</v>
      </c>
      <c r="G269" s="834"/>
    </row>
    <row r="270" spans="1:7" s="506" customFormat="1" ht="20.149999999999999" customHeight="1" x14ac:dyDescent="0.3">
      <c r="A270" s="859"/>
      <c r="B270" s="615" t="s">
        <v>31</v>
      </c>
      <c r="C270" s="513">
        <f t="shared" si="19"/>
        <v>69.905675856112765</v>
      </c>
      <c r="D270" s="513">
        <f t="shared" si="19"/>
        <v>1.2625549821921507E-3</v>
      </c>
      <c r="E270" s="513">
        <f t="shared" si="19"/>
        <v>1.4176055940403097E-3</v>
      </c>
      <c r="F270" s="513">
        <f t="shared" si="19"/>
        <v>70.359686197691587</v>
      </c>
      <c r="G270" s="834"/>
    </row>
    <row r="271" spans="1:7" s="506" customFormat="1" ht="20.149999999999999" customHeight="1" x14ac:dyDescent="0.3">
      <c r="A271" s="860"/>
      <c r="B271" s="615" t="s">
        <v>13</v>
      </c>
      <c r="C271" s="513">
        <f t="shared" si="19"/>
        <v>1359.1735637357303</v>
      </c>
      <c r="D271" s="513">
        <f t="shared" si="19"/>
        <v>2.422289519529024E-2</v>
      </c>
      <c r="E271" s="513">
        <f t="shared" si="19"/>
        <v>9.689158078116096E-2</v>
      </c>
      <c r="F271" s="513">
        <f t="shared" si="19"/>
        <v>1388.6528271883983</v>
      </c>
      <c r="G271" s="835"/>
    </row>
    <row r="272" spans="1:7" s="506" customFormat="1" ht="20.149999999999999" customHeight="1" x14ac:dyDescent="0.3">
      <c r="A272" s="858" t="s">
        <v>360</v>
      </c>
      <c r="B272" s="615" t="s">
        <v>19</v>
      </c>
      <c r="C272" s="513">
        <f t="shared" ref="C272:F276" si="20">$G178*D301</f>
        <v>602.54610336900157</v>
      </c>
      <c r="D272" s="513">
        <f t="shared" si="20"/>
        <v>0</v>
      </c>
      <c r="E272" s="513">
        <f t="shared" si="20"/>
        <v>0</v>
      </c>
      <c r="F272" s="513">
        <f t="shared" si="20"/>
        <v>602.54610336900157</v>
      </c>
      <c r="G272" s="833">
        <f>SUM(F272:F276)</f>
        <v>37535.746562825436</v>
      </c>
    </row>
    <row r="273" spans="1:7" s="506" customFormat="1" ht="20.149999999999999" customHeight="1" x14ac:dyDescent="0.3">
      <c r="A273" s="859"/>
      <c r="B273" s="615" t="s">
        <v>95</v>
      </c>
      <c r="C273" s="513">
        <f t="shared" si="20"/>
        <v>23981.84176756689</v>
      </c>
      <c r="D273" s="513">
        <f t="shared" si="20"/>
        <v>0.47023219152091944</v>
      </c>
      <c r="E273" s="513">
        <f t="shared" si="20"/>
        <v>0.44481423522249136</v>
      </c>
      <c r="F273" s="513">
        <f t="shared" si="20"/>
        <v>24126.152214451216</v>
      </c>
      <c r="G273" s="834"/>
    </row>
    <row r="274" spans="1:7" s="506" customFormat="1" ht="20.149999999999999" customHeight="1" x14ac:dyDescent="0.3">
      <c r="A274" s="859"/>
      <c r="B274" s="615" t="s">
        <v>346</v>
      </c>
      <c r="C274" s="513">
        <f t="shared" si="20"/>
        <v>8902.8103459020549</v>
      </c>
      <c r="D274" s="513">
        <f t="shared" si="20"/>
        <v>8.4080301123666337E-2</v>
      </c>
      <c r="E274" s="513">
        <f t="shared" si="20"/>
        <v>0.10024958980129449</v>
      </c>
      <c r="F274" s="513">
        <f t="shared" si="20"/>
        <v>8934.7867311909322</v>
      </c>
      <c r="G274" s="834"/>
    </row>
    <row r="275" spans="1:7" s="506" customFormat="1" ht="20.149999999999999" customHeight="1" x14ac:dyDescent="0.3">
      <c r="A275" s="859"/>
      <c r="B275" s="615" t="s">
        <v>31</v>
      </c>
      <c r="C275" s="513">
        <f t="shared" si="20"/>
        <v>182.11618030983757</v>
      </c>
      <c r="D275" s="513">
        <f t="shared" si="20"/>
        <v>3.2891705569267245E-3</v>
      </c>
      <c r="E275" s="513">
        <f t="shared" si="20"/>
        <v>3.6931037832159713E-3</v>
      </c>
      <c r="F275" s="513">
        <f t="shared" si="20"/>
        <v>183.29895450115913</v>
      </c>
      <c r="G275" s="834"/>
    </row>
    <row r="276" spans="1:7" s="506" customFormat="1" ht="20.149999999999999" customHeight="1" x14ac:dyDescent="0.3">
      <c r="A276" s="860"/>
      <c r="B276" s="615" t="s">
        <v>13</v>
      </c>
      <c r="C276" s="513">
        <f t="shared" si="20"/>
        <v>3610.6507617033553</v>
      </c>
      <c r="D276" s="513">
        <f t="shared" si="20"/>
        <v>6.4348231396693462E-2</v>
      </c>
      <c r="E276" s="513">
        <f t="shared" si="20"/>
        <v>0.25739292558677385</v>
      </c>
      <c r="F276" s="513">
        <f t="shared" si="20"/>
        <v>3688.9625593131309</v>
      </c>
      <c r="G276" s="835"/>
    </row>
    <row r="277" spans="1:7" s="506" customFormat="1" ht="20.149999999999999" customHeight="1" x14ac:dyDescent="0.3">
      <c r="A277" s="858" t="s">
        <v>357</v>
      </c>
      <c r="B277" s="615" t="s">
        <v>19</v>
      </c>
      <c r="C277" s="513">
        <f t="shared" ref="C277:F281" si="21">$G183*D301</f>
        <v>368.3943071254605</v>
      </c>
      <c r="D277" s="513">
        <f t="shared" si="21"/>
        <v>0</v>
      </c>
      <c r="E277" s="513">
        <f t="shared" si="21"/>
        <v>0</v>
      </c>
      <c r="F277" s="513">
        <f t="shared" si="21"/>
        <v>368.3943071254605</v>
      </c>
      <c r="G277" s="833">
        <f>SUM(F277:F281)</f>
        <v>26042.216521434962</v>
      </c>
    </row>
    <row r="278" spans="1:7" s="506" customFormat="1" ht="20.149999999999999" customHeight="1" x14ac:dyDescent="0.3">
      <c r="A278" s="859"/>
      <c r="B278" s="615" t="s">
        <v>95</v>
      </c>
      <c r="C278" s="513">
        <f t="shared" si="21"/>
        <v>15009.902769735372</v>
      </c>
      <c r="D278" s="513">
        <f t="shared" si="21"/>
        <v>0.29431181901441905</v>
      </c>
      <c r="E278" s="513">
        <f t="shared" si="21"/>
        <v>0.27840307204066667</v>
      </c>
      <c r="F278" s="513">
        <f t="shared" si="21"/>
        <v>15100.224680678852</v>
      </c>
      <c r="G278" s="834"/>
    </row>
    <row r="279" spans="1:7" s="506" customFormat="1" ht="20.149999999999999" customHeight="1" x14ac:dyDescent="0.3">
      <c r="A279" s="859"/>
      <c r="B279" s="615" t="s">
        <v>346</v>
      </c>
      <c r="C279" s="513">
        <f t="shared" si="21"/>
        <v>8704.5012486174892</v>
      </c>
      <c r="D279" s="513">
        <f t="shared" si="21"/>
        <v>8.2207421890321361E-2</v>
      </c>
      <c r="E279" s="513">
        <f t="shared" si="21"/>
        <v>9.8016541484613945E-2</v>
      </c>
      <c r="F279" s="513">
        <f t="shared" si="21"/>
        <v>8735.7653635271618</v>
      </c>
      <c r="G279" s="834"/>
    </row>
    <row r="280" spans="1:7" s="506" customFormat="1" ht="20.149999999999999" customHeight="1" x14ac:dyDescent="0.3">
      <c r="A280" s="859"/>
      <c r="B280" s="615" t="s">
        <v>31</v>
      </c>
      <c r="C280" s="513">
        <f t="shared" si="21"/>
        <v>71.267705232278445</v>
      </c>
      <c r="D280" s="513">
        <f t="shared" si="21"/>
        <v>1.2871543720658655E-3</v>
      </c>
      <c r="E280" s="513">
        <f t="shared" si="21"/>
        <v>1.4452259616178141E-3</v>
      </c>
      <c r="F280" s="513">
        <f t="shared" si="21"/>
        <v>71.730561428142209</v>
      </c>
      <c r="G280" s="834"/>
    </row>
    <row r="281" spans="1:7" s="506" customFormat="1" ht="20.149999999999999" customHeight="1" x14ac:dyDescent="0.3">
      <c r="A281" s="860"/>
      <c r="B281" s="615" t="s">
        <v>13</v>
      </c>
      <c r="C281" s="513">
        <f t="shared" si="21"/>
        <v>1728.609606652255</v>
      </c>
      <c r="D281" s="513">
        <f t="shared" si="21"/>
        <v>3.0806903880931276E-2</v>
      </c>
      <c r="E281" s="513">
        <f t="shared" si="21"/>
        <v>0.1232276155237251</v>
      </c>
      <c r="F281" s="513">
        <f t="shared" si="21"/>
        <v>1766.1016086753482</v>
      </c>
      <c r="G281" s="835"/>
    </row>
    <row r="282" spans="1:7" s="506" customFormat="1" ht="20.149999999999999" customHeight="1" x14ac:dyDescent="0.3">
      <c r="A282" s="858" t="s">
        <v>361</v>
      </c>
      <c r="B282" s="615" t="s">
        <v>19</v>
      </c>
      <c r="C282" s="513">
        <f t="shared" ref="C282:F286" si="22">$G188*D301</f>
        <v>116.40271356397703</v>
      </c>
      <c r="D282" s="513">
        <f t="shared" si="22"/>
        <v>0</v>
      </c>
      <c r="E282" s="513">
        <f t="shared" si="22"/>
        <v>0</v>
      </c>
      <c r="F282" s="513">
        <f t="shared" si="22"/>
        <v>116.40271356397703</v>
      </c>
      <c r="G282" s="833">
        <f>SUM(F282:F286)</f>
        <v>16326.350260705967</v>
      </c>
    </row>
    <row r="283" spans="1:7" s="506" customFormat="1" ht="20.149999999999999" customHeight="1" x14ac:dyDescent="0.3">
      <c r="A283" s="859"/>
      <c r="B283" s="615" t="s">
        <v>95</v>
      </c>
      <c r="C283" s="513">
        <f t="shared" si="22"/>
        <v>11354.815499065064</v>
      </c>
      <c r="D283" s="513">
        <f t="shared" si="22"/>
        <v>0.2226434411581385</v>
      </c>
      <c r="E283" s="513">
        <f t="shared" si="22"/>
        <v>0.21060866055499589</v>
      </c>
      <c r="F283" s="513">
        <f t="shared" si="22"/>
        <v>11423.142965939405</v>
      </c>
      <c r="G283" s="834"/>
    </row>
    <row r="284" spans="1:7" s="506" customFormat="1" ht="20.149999999999999" customHeight="1" x14ac:dyDescent="0.3">
      <c r="A284" s="859"/>
      <c r="B284" s="615" t="s">
        <v>346</v>
      </c>
      <c r="C284" s="513">
        <f t="shared" si="22"/>
        <v>2644.9382877890644</v>
      </c>
      <c r="D284" s="513">
        <f t="shared" si="22"/>
        <v>2.4979438969311905E-2</v>
      </c>
      <c r="E284" s="513">
        <f t="shared" si="22"/>
        <v>2.9783177232641119E-2</v>
      </c>
      <c r="F284" s="513">
        <f t="shared" si="22"/>
        <v>2654.4381605786243</v>
      </c>
      <c r="G284" s="834"/>
    </row>
    <row r="285" spans="1:7" s="506" customFormat="1" ht="20.149999999999999" customHeight="1" x14ac:dyDescent="0.3">
      <c r="A285" s="859"/>
      <c r="B285" s="615" t="s">
        <v>31</v>
      </c>
      <c r="C285" s="513">
        <f t="shared" si="22"/>
        <v>249.75294016874739</v>
      </c>
      <c r="D285" s="513">
        <f t="shared" si="22"/>
        <v>4.5107470182568447E-3</v>
      </c>
      <c r="E285" s="513">
        <f t="shared" si="22"/>
        <v>5.0646984064638256E-3</v>
      </c>
      <c r="F285" s="513">
        <f t="shared" si="22"/>
        <v>251.37498896933005</v>
      </c>
      <c r="G285" s="834"/>
    </row>
    <row r="286" spans="1:7" s="506" customFormat="1" ht="20.149999999999999" customHeight="1" x14ac:dyDescent="0.3">
      <c r="A286" s="860"/>
      <c r="B286" s="615" t="s">
        <v>13</v>
      </c>
      <c r="C286" s="513">
        <f t="shared" si="22"/>
        <v>1841.0604705963319</v>
      </c>
      <c r="D286" s="513">
        <f t="shared" si="22"/>
        <v>3.2810978683895022E-2</v>
      </c>
      <c r="E286" s="513">
        <f t="shared" si="22"/>
        <v>0.13124391473558009</v>
      </c>
      <c r="F286" s="513">
        <f t="shared" si="22"/>
        <v>1880.9914316546319</v>
      </c>
      <c r="G286" s="835"/>
    </row>
    <row r="287" spans="1:7" s="26" customFormat="1" ht="23.15" customHeight="1" x14ac:dyDescent="0.3">
      <c r="A287" s="576" t="s">
        <v>16</v>
      </c>
      <c r="B287" s="576"/>
      <c r="C287" s="667">
        <f>SUM(C232:C286)</f>
        <v>422395.92311754433</v>
      </c>
      <c r="D287" s="667">
        <f t="shared" ref="D287:E287" si="23">SUM(D232:D286)</f>
        <v>7.0823423589166161</v>
      </c>
      <c r="E287" s="667">
        <f t="shared" si="23"/>
        <v>8.7947487639458259</v>
      </c>
      <c r="F287" s="861">
        <f>SUM(F232:F286)</f>
        <v>425193.8168081732</v>
      </c>
      <c r="G287" s="862"/>
    </row>
    <row r="288" spans="1:7" s="26" customFormat="1" x14ac:dyDescent="0.3">
      <c r="A288" s="668"/>
      <c r="B288" s="668"/>
      <c r="C288" s="669"/>
      <c r="D288" s="669"/>
      <c r="E288" s="669"/>
      <c r="F288" s="509"/>
    </row>
    <row r="289" spans="1:36" s="26" customFormat="1" x14ac:dyDescent="0.3">
      <c r="A289" s="507" t="s">
        <v>383</v>
      </c>
      <c r="B289" s="668"/>
      <c r="C289" s="669"/>
      <c r="D289" s="669"/>
      <c r="E289" s="669"/>
      <c r="F289" s="509"/>
    </row>
    <row r="290" spans="1:36" s="26" customFormat="1" ht="20.149999999999999" customHeight="1" x14ac:dyDescent="0.3">
      <c r="A290" s="829" t="s">
        <v>27</v>
      </c>
      <c r="B290" s="847" t="s">
        <v>721</v>
      </c>
      <c r="C290" s="863"/>
      <c r="D290" s="863"/>
      <c r="E290" s="863"/>
      <c r="F290" s="670"/>
    </row>
    <row r="291" spans="1:36" s="26" customFormat="1" ht="18" x14ac:dyDescent="0.3">
      <c r="A291" s="837"/>
      <c r="B291" s="536" t="s">
        <v>706</v>
      </c>
      <c r="C291" s="536" t="s">
        <v>707</v>
      </c>
      <c r="D291" s="536" t="s">
        <v>708</v>
      </c>
      <c r="E291" s="565" t="s">
        <v>723</v>
      </c>
      <c r="F291" s="666"/>
    </row>
    <row r="292" spans="1:36" s="26" customFormat="1" ht="20.149999999999999" customHeight="1" x14ac:dyDescent="0.3">
      <c r="A292" s="589" t="s">
        <v>19</v>
      </c>
      <c r="B292" s="482">
        <f t="shared" ref="B292:E296" si="24">$C197*D301</f>
        <v>5840.7612574785408</v>
      </c>
      <c r="C292" s="513">
        <f>$C197*E301</f>
        <v>0</v>
      </c>
      <c r="D292" s="513">
        <f t="shared" si="24"/>
        <v>0</v>
      </c>
      <c r="E292" s="480">
        <f>$C197*G301</f>
        <v>5840.7612574785408</v>
      </c>
      <c r="F292" s="509"/>
    </row>
    <row r="293" spans="1:36" s="26" customFormat="1" ht="20.149999999999999" customHeight="1" x14ac:dyDescent="0.3">
      <c r="A293" s="589" t="s">
        <v>95</v>
      </c>
      <c r="B293" s="482">
        <f t="shared" si="24"/>
        <v>277289.07957599999</v>
      </c>
      <c r="C293" s="513">
        <f>$C198*E302</f>
        <v>5.4370407759999999</v>
      </c>
      <c r="D293" s="513">
        <f t="shared" si="24"/>
        <v>5.1431466800000001</v>
      </c>
      <c r="E293" s="480">
        <f t="shared" si="24"/>
        <v>278957.66330603999</v>
      </c>
      <c r="F293" s="509"/>
    </row>
    <row r="294" spans="1:36" s="26" customFormat="1" ht="20.149999999999999" customHeight="1" x14ac:dyDescent="0.3">
      <c r="A294" s="589" t="s">
        <v>346</v>
      </c>
      <c r="B294" s="482">
        <f t="shared" si="24"/>
        <v>100022.6974903087</v>
      </c>
      <c r="C294" s="513">
        <f>$C199*E303</f>
        <v>0.94463862504468799</v>
      </c>
      <c r="D294" s="513">
        <f t="shared" si="24"/>
        <v>1.1262998990917434</v>
      </c>
      <c r="E294" s="480">
        <f t="shared" si="24"/>
        <v>100381.95082586414</v>
      </c>
      <c r="F294" s="509"/>
    </row>
    <row r="295" spans="1:36" s="26" customFormat="1" ht="20.149999999999999" customHeight="1" x14ac:dyDescent="0.3">
      <c r="A295" s="589" t="s">
        <v>31</v>
      </c>
      <c r="B295" s="482">
        <f t="shared" si="24"/>
        <v>5337.2895413155411</v>
      </c>
      <c r="C295" s="513">
        <f t="shared" si="24"/>
        <v>9.6395913769006927E-2</v>
      </c>
      <c r="D295" s="513">
        <f t="shared" si="24"/>
        <v>0.10823400844239374</v>
      </c>
      <c r="E295" s="480">
        <f t="shared" si="24"/>
        <v>5371.9531736755998</v>
      </c>
      <c r="F295" s="509"/>
    </row>
    <row r="296" spans="1:36" s="26" customFormat="1" ht="20.149999999999999" customHeight="1" x14ac:dyDescent="0.3">
      <c r="A296" s="589" t="s">
        <v>13</v>
      </c>
      <c r="B296" s="482">
        <f t="shared" si="24"/>
        <v>33906.095252441715</v>
      </c>
      <c r="C296" s="513">
        <f t="shared" si="24"/>
        <v>0.60426704410292165</v>
      </c>
      <c r="D296" s="513">
        <f t="shared" si="24"/>
        <v>2.4170681764116866</v>
      </c>
      <c r="E296" s="480">
        <f t="shared" si="24"/>
        <v>34641.488245114968</v>
      </c>
      <c r="F296" s="509"/>
    </row>
    <row r="297" spans="1:36" s="26" customFormat="1" x14ac:dyDescent="0.3">
      <c r="A297" s="668"/>
      <c r="B297" s="668"/>
      <c r="C297" s="669"/>
      <c r="D297" s="669"/>
      <c r="E297" s="669"/>
      <c r="F297" s="509"/>
    </row>
    <row r="298" spans="1:36" x14ac:dyDescent="0.3">
      <c r="A298" s="514" t="s">
        <v>333</v>
      </c>
      <c r="B298" s="506"/>
      <c r="C298" s="506"/>
      <c r="D298" s="506"/>
      <c r="E298" s="506"/>
      <c r="F298" s="506"/>
      <c r="G298" s="506"/>
      <c r="H298" s="328"/>
      <c r="I298" s="328"/>
      <c r="Y298" s="349"/>
      <c r="Z298" s="349"/>
      <c r="AA298" s="349"/>
      <c r="AB298" s="349"/>
      <c r="AC298" s="349"/>
      <c r="AD298" s="349"/>
      <c r="AE298" s="349"/>
      <c r="AF298" s="349"/>
      <c r="AG298" s="349"/>
      <c r="AH298" s="349"/>
      <c r="AI298" s="349"/>
      <c r="AJ298" s="349"/>
    </row>
    <row r="299" spans="1:36" ht="23.15" customHeight="1" x14ac:dyDescent="0.3">
      <c r="A299" s="841" t="s">
        <v>30</v>
      </c>
      <c r="B299" s="841" t="s">
        <v>735</v>
      </c>
      <c r="C299" s="836"/>
      <c r="D299" s="847" t="s">
        <v>713</v>
      </c>
      <c r="E299" s="848"/>
      <c r="F299" s="848"/>
      <c r="G299" s="849"/>
      <c r="H299" s="26"/>
      <c r="I299" s="26"/>
      <c r="J299" s="26"/>
      <c r="Y299" s="349"/>
      <c r="Z299" s="349"/>
      <c r="AA299" s="349"/>
      <c r="AB299" s="349"/>
      <c r="AC299" s="349"/>
      <c r="AD299" s="349"/>
      <c r="AE299" s="349"/>
      <c r="AF299" s="349"/>
      <c r="AG299" s="349"/>
      <c r="AH299" s="349"/>
      <c r="AI299" s="349"/>
      <c r="AJ299" s="349"/>
    </row>
    <row r="300" spans="1:36" ht="17.5" x14ac:dyDescent="0.3">
      <c r="A300" s="841"/>
      <c r="B300" s="537" t="s">
        <v>334</v>
      </c>
      <c r="C300" s="537" t="s">
        <v>24</v>
      </c>
      <c r="D300" s="537" t="s">
        <v>692</v>
      </c>
      <c r="E300" s="537" t="s">
        <v>693</v>
      </c>
      <c r="F300" s="537" t="s">
        <v>694</v>
      </c>
      <c r="G300" s="566" t="s">
        <v>724</v>
      </c>
      <c r="H300" s="26"/>
      <c r="I300" s="26"/>
      <c r="J300" s="26"/>
      <c r="Y300" s="349"/>
      <c r="Z300" s="349"/>
      <c r="AA300" s="349"/>
      <c r="AB300" s="349"/>
      <c r="AC300" s="349"/>
      <c r="AD300" s="349"/>
      <c r="AE300" s="349"/>
      <c r="AF300" s="349"/>
      <c r="AG300" s="349"/>
      <c r="AH300" s="349"/>
      <c r="AI300" s="349"/>
      <c r="AJ300" s="349"/>
    </row>
    <row r="301" spans="1:36" ht="20.149999999999999" customHeight="1" x14ac:dyDescent="0.3">
      <c r="A301" s="526" t="s">
        <v>19</v>
      </c>
      <c r="B301" s="517">
        <v>3.5999999999999999E-3</v>
      </c>
      <c r="C301" s="517" t="s">
        <v>336</v>
      </c>
      <c r="D301" s="541">
        <f>Résidentiel!D203</f>
        <v>1.7E-6</v>
      </c>
      <c r="E301" s="541">
        <f>Résidentiel!E203</f>
        <v>0</v>
      </c>
      <c r="F301" s="541">
        <f>Résidentiel!F203</f>
        <v>0</v>
      </c>
      <c r="G301" s="541">
        <f>D301+(E301*PRP!$K$5)+(F301*PRP!$K$6)</f>
        <v>1.7E-6</v>
      </c>
      <c r="H301" s="26"/>
      <c r="I301" s="26"/>
      <c r="J301" s="26"/>
      <c r="Y301" s="349"/>
      <c r="Z301" s="349"/>
      <c r="AA301" s="349"/>
      <c r="AB301" s="349"/>
      <c r="AC301" s="349"/>
      <c r="AD301" s="349"/>
      <c r="AE301" s="349"/>
      <c r="AF301" s="349"/>
      <c r="AG301" s="349"/>
      <c r="AH301" s="349"/>
      <c r="AI301" s="349"/>
      <c r="AJ301" s="349"/>
    </row>
    <row r="302" spans="1:36" ht="20.149999999999999" customHeight="1" x14ac:dyDescent="0.3">
      <c r="A302" s="526" t="s">
        <v>20</v>
      </c>
      <c r="B302" s="517">
        <v>3.7999999999999999E-2</v>
      </c>
      <c r="C302" s="517" t="s">
        <v>335</v>
      </c>
      <c r="D302" s="541">
        <f>Résidentiel!D204</f>
        <v>1.887E-3</v>
      </c>
      <c r="E302" s="541">
        <f>Résidentiel!E204</f>
        <v>3.7E-8</v>
      </c>
      <c r="F302" s="541">
        <f>Résidentiel!F204</f>
        <v>3.5000000000000002E-8</v>
      </c>
      <c r="G302" s="541">
        <f>D302+(E302*PRP!$K$5)+(F302*PRP!$K$6)</f>
        <v>1.898355E-3</v>
      </c>
      <c r="H302" s="26"/>
      <c r="I302" s="26"/>
      <c r="J302" s="26"/>
      <c r="Y302" s="349"/>
      <c r="Z302" s="349"/>
      <c r="AA302" s="349"/>
      <c r="AB302" s="349"/>
      <c r="AC302" s="349"/>
      <c r="AD302" s="349"/>
      <c r="AE302" s="349"/>
      <c r="AF302" s="349"/>
      <c r="AG302" s="349"/>
      <c r="AH302" s="349"/>
      <c r="AI302" s="349"/>
      <c r="AJ302" s="349"/>
    </row>
    <row r="303" spans="1:36" ht="20.149999999999999" customHeight="1" x14ac:dyDescent="0.3">
      <c r="A303" s="518" t="s">
        <v>346</v>
      </c>
      <c r="B303" s="517">
        <v>3.8679999999999999E-2</v>
      </c>
      <c r="C303" s="517" t="s">
        <v>904</v>
      </c>
      <c r="D303" s="541">
        <f>Résidentiel!D205</f>
        <v>2.7529999999999998E-3</v>
      </c>
      <c r="E303" s="541">
        <f>Résidentiel!E205</f>
        <v>2.5999999999999998E-8</v>
      </c>
      <c r="F303" s="541">
        <f>Résidentiel!F205</f>
        <v>3.1E-8</v>
      </c>
      <c r="G303" s="541">
        <f>D303+(E303*PRP!$K$5)+(F303*PRP!$K$6)</f>
        <v>2.7628879999999998E-3</v>
      </c>
      <c r="H303" s="26"/>
      <c r="I303" s="26"/>
      <c r="J303" s="26"/>
      <c r="Y303" s="349"/>
      <c r="Z303" s="349"/>
      <c r="AA303" s="349"/>
      <c r="AB303" s="349"/>
      <c r="AC303" s="349"/>
      <c r="AD303" s="349"/>
      <c r="AE303" s="349"/>
      <c r="AF303" s="349"/>
      <c r="AG303" s="349"/>
      <c r="AH303" s="349"/>
      <c r="AI303" s="349"/>
      <c r="AJ303" s="349"/>
    </row>
    <row r="304" spans="1:36" s="26" customFormat="1" ht="20.149999999999999" customHeight="1" x14ac:dyDescent="0.3">
      <c r="A304" s="518" t="s">
        <v>31</v>
      </c>
      <c r="B304" s="517">
        <f>AVERAGE('Coefficients d''émissions'!B78:B79)/1000</f>
        <v>4.1399999999999999E-2</v>
      </c>
      <c r="C304" s="517" t="s">
        <v>904</v>
      </c>
      <c r="D304" s="541">
        <f>oil6co2</f>
        <v>3.156E-3</v>
      </c>
      <c r="E304" s="541">
        <f>oil6ch4</f>
        <v>5.7000000000000001E-8</v>
      </c>
      <c r="F304" s="541">
        <f>'Coefficients d''émissions'!E9</f>
        <v>6.4000000000000004E-8</v>
      </c>
      <c r="G304" s="541">
        <f>D304+(E304*PRP!$K$5)+(F304*PRP!$K$6)</f>
        <v>3.1764970000000003E-3</v>
      </c>
    </row>
    <row r="305" spans="1:7" s="26" customFormat="1" ht="20.149999999999999" customHeight="1" x14ac:dyDescent="0.3">
      <c r="A305" s="518" t="s">
        <v>13</v>
      </c>
      <c r="B305" s="517">
        <f>'Coefficients d''émissions'!B81/1000</f>
        <v>2.5530000000000001E-2</v>
      </c>
      <c r="C305" s="517" t="s">
        <v>904</v>
      </c>
      <c r="D305" s="541">
        <f>propaneco2</f>
        <v>1.5150000000000001E-3</v>
      </c>
      <c r="E305" s="541">
        <f>propanech4</f>
        <v>2.7E-8</v>
      </c>
      <c r="F305" s="541">
        <f>propanen2o</f>
        <v>1.08E-7</v>
      </c>
      <c r="G305" s="541">
        <f>D305+(E305*PRP!$K$5)+(F305*PRP!$K$6)</f>
        <v>1.547859E-3</v>
      </c>
    </row>
    <row r="306" spans="1:7" s="26" customFormat="1" x14ac:dyDescent="0.3"/>
    <row r="307" spans="1:7" s="26" customFormat="1" x14ac:dyDescent="0.3"/>
    <row r="308" spans="1:7" s="26" customFormat="1" x14ac:dyDescent="0.3"/>
    <row r="309" spans="1:7" s="26" customFormat="1" x14ac:dyDescent="0.3"/>
    <row r="310" spans="1:7" s="26" customFormat="1" x14ac:dyDescent="0.3"/>
    <row r="311" spans="1:7" s="26" customFormat="1" x14ac:dyDescent="0.3"/>
    <row r="312" spans="1:7" s="26" customFormat="1" x14ac:dyDescent="0.3"/>
    <row r="313" spans="1:7" s="26" customFormat="1" x14ac:dyDescent="0.3"/>
    <row r="314" spans="1:7" s="26" customFormat="1" x14ac:dyDescent="0.3"/>
    <row r="315" spans="1:7" s="26" customFormat="1" x14ac:dyDescent="0.3"/>
    <row r="316" spans="1:7" s="26" customFormat="1" x14ac:dyDescent="0.3"/>
    <row r="317" spans="1:7" s="26" customFormat="1" x14ac:dyDescent="0.3"/>
    <row r="318" spans="1:7" s="26" customFormat="1" x14ac:dyDescent="0.3"/>
    <row r="319" spans="1:7" s="26" customFormat="1" x14ac:dyDescent="0.3"/>
    <row r="320" spans="1:7" s="26" customFormat="1" x14ac:dyDescent="0.3"/>
    <row r="321" s="26" customFormat="1" x14ac:dyDescent="0.3"/>
    <row r="322" s="26" customFormat="1" x14ac:dyDescent="0.3"/>
    <row r="323" s="26" customFormat="1" x14ac:dyDescent="0.3"/>
    <row r="324" s="26" customFormat="1" x14ac:dyDescent="0.3"/>
    <row r="325" s="26" customFormat="1" x14ac:dyDescent="0.3"/>
    <row r="326" s="26" customFormat="1" x14ac:dyDescent="0.3"/>
    <row r="327" s="26" customFormat="1" x14ac:dyDescent="0.3"/>
    <row r="328" s="26" customFormat="1" x14ac:dyDescent="0.3"/>
    <row r="329" s="26" customFormat="1" x14ac:dyDescent="0.3"/>
    <row r="330" s="26" customFormat="1" x14ac:dyDescent="0.3"/>
    <row r="331" s="26" customFormat="1" x14ac:dyDescent="0.3"/>
    <row r="332" s="26" customFormat="1" x14ac:dyDescent="0.3"/>
    <row r="333" s="26" customFormat="1" x14ac:dyDescent="0.3"/>
    <row r="334" s="26" customFormat="1" x14ac:dyDescent="0.3"/>
    <row r="335" s="26" customFormat="1" x14ac:dyDescent="0.3"/>
    <row r="336" s="26" customFormat="1" x14ac:dyDescent="0.3"/>
    <row r="337" s="26" customFormat="1" x14ac:dyDescent="0.3"/>
    <row r="338" s="26" customFormat="1" x14ac:dyDescent="0.3"/>
    <row r="339" s="26" customFormat="1" x14ac:dyDescent="0.3"/>
    <row r="340" s="26" customFormat="1" x14ac:dyDescent="0.3"/>
    <row r="341" s="26" customFormat="1" x14ac:dyDescent="0.3"/>
    <row r="342" s="26" customFormat="1" x14ac:dyDescent="0.3"/>
    <row r="343" s="26" customFormat="1" x14ac:dyDescent="0.3"/>
    <row r="344" s="26" customFormat="1" x14ac:dyDescent="0.3"/>
    <row r="345" s="26" customFormat="1" x14ac:dyDescent="0.3"/>
    <row r="346" s="26" customFormat="1" x14ac:dyDescent="0.3"/>
    <row r="347" s="26" customFormat="1" x14ac:dyDescent="0.3"/>
    <row r="348" s="26" customFormat="1" x14ac:dyDescent="0.3"/>
    <row r="349" s="26" customFormat="1" x14ac:dyDescent="0.3"/>
    <row r="350" s="26" customFormat="1" x14ac:dyDescent="0.3"/>
    <row r="351" s="26" customFormat="1" x14ac:dyDescent="0.3"/>
    <row r="352" s="26" customFormat="1" x14ac:dyDescent="0.3"/>
    <row r="353" s="26" customFormat="1" x14ac:dyDescent="0.3"/>
    <row r="354" s="26" customFormat="1" x14ac:dyDescent="0.3"/>
    <row r="355" s="26" customFormat="1" x14ac:dyDescent="0.3"/>
    <row r="356" s="26" customFormat="1" x14ac:dyDescent="0.3"/>
    <row r="357" s="26" customFormat="1" x14ac:dyDescent="0.3"/>
    <row r="358" s="26" customFormat="1" x14ac:dyDescent="0.3"/>
    <row r="359" s="26" customFormat="1" x14ac:dyDescent="0.3"/>
    <row r="360" s="26" customFormat="1" x14ac:dyDescent="0.3"/>
    <row r="361" s="26" customFormat="1" x14ac:dyDescent="0.3"/>
    <row r="362" s="26" customFormat="1" x14ac:dyDescent="0.3"/>
    <row r="363" s="26" customFormat="1" x14ac:dyDescent="0.3"/>
    <row r="364" s="26" customFormat="1" x14ac:dyDescent="0.3"/>
    <row r="365" s="26" customFormat="1" x14ac:dyDescent="0.3"/>
    <row r="366" s="26" customFormat="1" x14ac:dyDescent="0.3"/>
    <row r="367" s="26" customFormat="1" x14ac:dyDescent="0.3"/>
    <row r="368" s="26" customFormat="1" x14ac:dyDescent="0.3"/>
    <row r="369" s="26" customFormat="1" x14ac:dyDescent="0.3"/>
    <row r="370" s="26" customFormat="1" x14ac:dyDescent="0.3"/>
    <row r="371" s="26" customFormat="1" x14ac:dyDescent="0.3"/>
    <row r="372" s="26" customFormat="1" x14ac:dyDescent="0.3"/>
    <row r="373" s="26" customFormat="1" x14ac:dyDescent="0.3"/>
    <row r="374" s="26" customFormat="1" x14ac:dyDescent="0.3"/>
    <row r="375" s="26" customFormat="1" x14ac:dyDescent="0.3"/>
    <row r="376" s="26" customFormat="1" x14ac:dyDescent="0.3"/>
    <row r="377" s="26" customFormat="1" x14ac:dyDescent="0.3"/>
    <row r="378" s="26" customFormat="1" x14ac:dyDescent="0.3"/>
    <row r="379" s="26" customFormat="1" x14ac:dyDescent="0.3"/>
    <row r="380" s="26" customFormat="1" x14ac:dyDescent="0.3"/>
    <row r="381" s="26" customFormat="1" x14ac:dyDescent="0.3"/>
    <row r="382" s="26" customFormat="1" x14ac:dyDescent="0.3"/>
    <row r="383" s="26" customFormat="1" x14ac:dyDescent="0.3"/>
    <row r="384" s="26" customFormat="1" x14ac:dyDescent="0.3"/>
    <row r="385" s="26" customFormat="1" x14ac:dyDescent="0.3"/>
    <row r="386" s="26" customFormat="1" x14ac:dyDescent="0.3"/>
    <row r="387" s="26" customFormat="1" x14ac:dyDescent="0.3"/>
    <row r="388" s="26" customFormat="1" x14ac:dyDescent="0.3"/>
    <row r="389" s="26" customFormat="1" x14ac:dyDescent="0.3"/>
    <row r="390" s="26" customFormat="1" x14ac:dyDescent="0.3"/>
    <row r="391" s="26" customFormat="1" x14ac:dyDescent="0.3"/>
    <row r="392" s="26" customFormat="1" x14ac:dyDescent="0.3"/>
    <row r="393" s="26" customFormat="1" x14ac:dyDescent="0.3"/>
    <row r="394" s="26" customFormat="1" x14ac:dyDescent="0.3"/>
    <row r="395" s="26" customFormat="1" x14ac:dyDescent="0.3"/>
    <row r="396" s="26" customFormat="1" x14ac:dyDescent="0.3"/>
    <row r="397" s="26" customFormat="1" x14ac:dyDescent="0.3"/>
    <row r="398" s="26" customFormat="1" x14ac:dyDescent="0.3"/>
    <row r="399" s="26" customFormat="1" x14ac:dyDescent="0.3"/>
    <row r="400" s="26" customFormat="1" x14ac:dyDescent="0.3"/>
    <row r="401" s="26" customFormat="1" x14ac:dyDescent="0.3"/>
    <row r="402" s="26" customFormat="1" x14ac:dyDescent="0.3"/>
    <row r="403" s="26" customFormat="1" x14ac:dyDescent="0.3"/>
    <row r="404" s="26" customFormat="1" x14ac:dyDescent="0.3"/>
    <row r="405" s="26" customFormat="1" x14ac:dyDescent="0.3"/>
    <row r="406" s="26" customFormat="1" x14ac:dyDescent="0.3"/>
    <row r="407" s="26" customFormat="1" x14ac:dyDescent="0.3"/>
    <row r="408" s="26" customFormat="1" x14ac:dyDescent="0.3"/>
    <row r="409" s="26" customFormat="1" x14ac:dyDescent="0.3"/>
    <row r="410" s="26" customFormat="1" x14ac:dyDescent="0.3"/>
    <row r="411" s="26" customFormat="1" x14ac:dyDescent="0.3"/>
    <row r="412" s="26" customFormat="1" x14ac:dyDescent="0.3"/>
    <row r="413" s="26" customFormat="1" x14ac:dyDescent="0.3"/>
    <row r="414" s="26" customFormat="1" x14ac:dyDescent="0.3"/>
    <row r="415" s="26" customFormat="1" x14ac:dyDescent="0.3"/>
    <row r="416" s="26" customFormat="1" x14ac:dyDescent="0.3"/>
    <row r="417" s="26" customFormat="1" x14ac:dyDescent="0.3"/>
    <row r="418" s="26" customFormat="1" x14ac:dyDescent="0.3"/>
    <row r="419" s="26" customFormat="1" x14ac:dyDescent="0.3"/>
    <row r="420" s="26" customFormat="1" x14ac:dyDescent="0.3"/>
    <row r="421" s="26" customFormat="1" x14ac:dyDescent="0.3"/>
    <row r="422" s="26" customFormat="1" x14ac:dyDescent="0.3"/>
    <row r="423" s="26" customFormat="1" x14ac:dyDescent="0.3"/>
    <row r="424" s="26" customFormat="1" x14ac:dyDescent="0.3"/>
    <row r="425" s="26" customFormat="1" x14ac:dyDescent="0.3"/>
    <row r="426" s="26" customFormat="1" x14ac:dyDescent="0.3"/>
    <row r="427" s="26" customFormat="1" x14ac:dyDescent="0.3"/>
    <row r="428" s="26" customFormat="1" x14ac:dyDescent="0.3"/>
    <row r="429" s="26" customFormat="1" x14ac:dyDescent="0.3"/>
    <row r="430" s="26" customFormat="1" x14ac:dyDescent="0.3"/>
    <row r="431" s="26" customFormat="1" x14ac:dyDescent="0.3"/>
    <row r="432" s="26" customFormat="1" x14ac:dyDescent="0.3"/>
    <row r="433" s="26" customFormat="1" x14ac:dyDescent="0.3"/>
    <row r="434" s="26" customFormat="1" x14ac:dyDescent="0.3"/>
    <row r="435" s="26" customFormat="1" x14ac:dyDescent="0.3"/>
    <row r="436" s="26" customFormat="1" x14ac:dyDescent="0.3"/>
    <row r="437" s="26" customFormat="1" x14ac:dyDescent="0.3"/>
    <row r="438" s="26" customFormat="1" x14ac:dyDescent="0.3"/>
    <row r="439" s="26" customFormat="1" x14ac:dyDescent="0.3"/>
    <row r="440" s="26" customFormat="1" x14ac:dyDescent="0.3"/>
    <row r="441" s="26" customFormat="1" x14ac:dyDescent="0.3"/>
    <row r="442" s="26" customFormat="1" x14ac:dyDescent="0.3"/>
    <row r="443" s="26" customFormat="1" x14ac:dyDescent="0.3"/>
    <row r="444" s="26" customFormat="1" x14ac:dyDescent="0.3"/>
    <row r="445" s="26" customFormat="1" x14ac:dyDescent="0.3"/>
    <row r="446" s="26" customFormat="1" x14ac:dyDescent="0.3"/>
    <row r="447" s="26" customFormat="1" x14ac:dyDescent="0.3"/>
  </sheetData>
  <sheetProtection algorithmName="SHA-512" hashValue="1okUGIEAHl4AKmGOb6S0Tm3ABSaPOXoCS04jSCSfDYyKEgLoBcu0Nc64Gn0qn5t5vxQvey29IH7BQYXjxbT30w==" saltValue="w4zNAXxjJFxga7sr1mfe2g==" spinCount="100000" sheet="1" objects="1" scenarios="1"/>
  <protectedRanges>
    <protectedRange algorithmName="SHA-512" hashValue="TAnauwEXX20guw3wG9Rnwop7B9RxhRLdy0QfCT/+WRaxYaJ2bFun5yGC7xZBhRfUBg1DMQo6tNhz9Ao8+Nge0w==" saltValue="CH2v892xh0fQWAQOV2lsAw==" spinCount="100000" sqref="A1:XFD1048576" name="Plage1"/>
  </protectedRanges>
  <mergeCells count="126">
    <mergeCell ref="G242:G246"/>
    <mergeCell ref="F168:F172"/>
    <mergeCell ref="F163:F167"/>
    <mergeCell ref="F158:F162"/>
    <mergeCell ref="F153:F157"/>
    <mergeCell ref="F148:F152"/>
    <mergeCell ref="G209:G213"/>
    <mergeCell ref="G214:G218"/>
    <mergeCell ref="G219:G223"/>
    <mergeCell ref="G226:G227"/>
    <mergeCell ref="F143:F147"/>
    <mergeCell ref="F138:F142"/>
    <mergeCell ref="A163:A167"/>
    <mergeCell ref="A168:A172"/>
    <mergeCell ref="A188:A192"/>
    <mergeCell ref="A183:A187"/>
    <mergeCell ref="A178:A182"/>
    <mergeCell ref="A173:A177"/>
    <mergeCell ref="A232:A236"/>
    <mergeCell ref="A230:A231"/>
    <mergeCell ref="C195:D195"/>
    <mergeCell ref="F188:F192"/>
    <mergeCell ref="F183:F187"/>
    <mergeCell ref="F178:F182"/>
    <mergeCell ref="F173:F177"/>
    <mergeCell ref="C230:G230"/>
    <mergeCell ref="C207:G207"/>
    <mergeCell ref="F208:G208"/>
    <mergeCell ref="B207:B208"/>
    <mergeCell ref="B230:B231"/>
    <mergeCell ref="B195:B196"/>
    <mergeCell ref="A195:A196"/>
    <mergeCell ref="A226:A227"/>
    <mergeCell ref="A219:A223"/>
    <mergeCell ref="A257:A261"/>
    <mergeCell ref="A252:A256"/>
    <mergeCell ref="A247:A251"/>
    <mergeCell ref="A242:A246"/>
    <mergeCell ref="A237:A241"/>
    <mergeCell ref="D299:G299"/>
    <mergeCell ref="A131:A132"/>
    <mergeCell ref="A282:A286"/>
    <mergeCell ref="A277:A281"/>
    <mergeCell ref="A272:A276"/>
    <mergeCell ref="A267:A271"/>
    <mergeCell ref="A262:A266"/>
    <mergeCell ref="G232:G236"/>
    <mergeCell ref="G237:G241"/>
    <mergeCell ref="G282:G286"/>
    <mergeCell ref="G277:G281"/>
    <mergeCell ref="G272:G276"/>
    <mergeCell ref="G267:G271"/>
    <mergeCell ref="G262:G266"/>
    <mergeCell ref="G257:G261"/>
    <mergeCell ref="G252:G256"/>
    <mergeCell ref="G247:G251"/>
    <mergeCell ref="A207:A208"/>
    <mergeCell ref="F231:G231"/>
    <mergeCell ref="A214:A218"/>
    <mergeCell ref="A209:A213"/>
    <mergeCell ref="G136:H136"/>
    <mergeCell ref="A66:A70"/>
    <mergeCell ref="G112:H112"/>
    <mergeCell ref="A112:A113"/>
    <mergeCell ref="B112:B113"/>
    <mergeCell ref="A71:A75"/>
    <mergeCell ref="A76:A80"/>
    <mergeCell ref="C112:C113"/>
    <mergeCell ref="D112:D113"/>
    <mergeCell ref="E112:F113"/>
    <mergeCell ref="A90:A94"/>
    <mergeCell ref="A95:A99"/>
    <mergeCell ref="A100:A104"/>
    <mergeCell ref="A107:A108"/>
    <mergeCell ref="A83:A84"/>
    <mergeCell ref="C88:M88"/>
    <mergeCell ref="A136:A137"/>
    <mergeCell ref="E136:F137"/>
    <mergeCell ref="D136:D137"/>
    <mergeCell ref="B136:B137"/>
    <mergeCell ref="C136:C137"/>
    <mergeCell ref="A124:A128"/>
    <mergeCell ref="A119:A123"/>
    <mergeCell ref="A114:A118"/>
    <mergeCell ref="W64:X64"/>
    <mergeCell ref="B64:B65"/>
    <mergeCell ref="A64:A65"/>
    <mergeCell ref="F114:F118"/>
    <mergeCell ref="F124:F128"/>
    <mergeCell ref="F119:F123"/>
    <mergeCell ref="F131:F132"/>
    <mergeCell ref="C63:X63"/>
    <mergeCell ref="I64:J64"/>
    <mergeCell ref="K64:L64"/>
    <mergeCell ref="M64:N64"/>
    <mergeCell ref="O64:P64"/>
    <mergeCell ref="Q64:R64"/>
    <mergeCell ref="C64:D64"/>
    <mergeCell ref="E64:F64"/>
    <mergeCell ref="G64:H64"/>
    <mergeCell ref="S64:T64"/>
    <mergeCell ref="U64:V64"/>
    <mergeCell ref="A35:F35"/>
    <mergeCell ref="A38:F38"/>
    <mergeCell ref="A41:F41"/>
    <mergeCell ref="A44:F44"/>
    <mergeCell ref="A47:F47"/>
    <mergeCell ref="B299:C299"/>
    <mergeCell ref="A299:A300"/>
    <mergeCell ref="A29:F29"/>
    <mergeCell ref="F24:F25"/>
    <mergeCell ref="A26:F26"/>
    <mergeCell ref="A24:A25"/>
    <mergeCell ref="B24:E24"/>
    <mergeCell ref="A50:F50"/>
    <mergeCell ref="A53:F53"/>
    <mergeCell ref="A56:F56"/>
    <mergeCell ref="A32:F32"/>
    <mergeCell ref="A138:A142"/>
    <mergeCell ref="A143:A147"/>
    <mergeCell ref="A148:A152"/>
    <mergeCell ref="A153:A157"/>
    <mergeCell ref="A158:A162"/>
    <mergeCell ref="F287:G287"/>
    <mergeCell ref="A290:A291"/>
    <mergeCell ref="B290:E290"/>
  </mergeCells>
  <phoneticPr fontId="0" type="noConversion"/>
  <pageMargins left="0.78740157499999996" right="0.78740157499999996" top="0.984251969" bottom="0.984251969" header="0.5" footer="0.5"/>
  <pageSetup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1"/>
  </sheetPr>
  <dimension ref="A1:AD20"/>
  <sheetViews>
    <sheetView showGridLines="0" workbookViewId="0">
      <selection activeCell="J216" sqref="A1:XFD1048576"/>
    </sheetView>
  </sheetViews>
  <sheetFormatPr baseColWidth="10" defaultColWidth="9.296875" defaultRowHeight="15.5" x14ac:dyDescent="0.35"/>
  <cols>
    <col min="1" max="1" width="48" style="328" customWidth="1"/>
    <col min="2" max="2" width="21.69921875" style="328" customWidth="1"/>
    <col min="3" max="3" width="16.296875" style="328" customWidth="1"/>
    <col min="4" max="4" width="14.296875" style="328" customWidth="1"/>
    <col min="5" max="5" width="13.19921875" style="349" customWidth="1"/>
    <col min="6" max="6" width="14.796875" style="342" customWidth="1"/>
    <col min="7" max="7" width="14.296875" style="342" customWidth="1"/>
    <col min="8" max="30" width="9.296875" style="342" customWidth="1"/>
    <col min="31" max="16384" width="9.296875" style="1"/>
  </cols>
  <sheetData>
    <row r="1" spans="1:8" s="642" customFormat="1" ht="22" customHeight="1" x14ac:dyDescent="0.3">
      <c r="A1" s="642" t="s">
        <v>506</v>
      </c>
    </row>
    <row r="2" spans="1:8" x14ac:dyDescent="0.35">
      <c r="B2" s="327"/>
      <c r="C2" s="327"/>
      <c r="D2" s="327"/>
      <c r="E2" s="327"/>
    </row>
    <row r="3" spans="1:8" x14ac:dyDescent="0.35">
      <c r="A3" s="491" t="s">
        <v>370</v>
      </c>
      <c r="C3" s="499"/>
      <c r="D3" s="499"/>
      <c r="E3" s="327"/>
    </row>
    <row r="4" spans="1:8" x14ac:dyDescent="0.35">
      <c r="A4" s="569" t="s">
        <v>762</v>
      </c>
      <c r="C4" s="841" t="s">
        <v>721</v>
      </c>
      <c r="D4" s="841"/>
      <c r="E4" s="841"/>
      <c r="F4" s="841"/>
    </row>
    <row r="5" spans="1:8" ht="17.5" x14ac:dyDescent="0.35">
      <c r="A5" s="706"/>
      <c r="C5" s="677" t="s">
        <v>692</v>
      </c>
      <c r="D5" s="677" t="s">
        <v>693</v>
      </c>
      <c r="E5" s="677" t="s">
        <v>694</v>
      </c>
      <c r="F5" s="566" t="s">
        <v>724</v>
      </c>
    </row>
    <row r="6" spans="1:8" ht="42" customHeight="1" x14ac:dyDescent="0.35">
      <c r="A6" s="712" t="s">
        <v>775</v>
      </c>
      <c r="B6" s="504">
        <v>35757370</v>
      </c>
      <c r="C6" s="710">
        <f>B6*D15</f>
        <v>67474.157189999998</v>
      </c>
      <c r="D6" s="711">
        <f>B6*E15</f>
        <v>1.3230226899999999</v>
      </c>
      <c r="E6" s="711">
        <f>B6*F15</f>
        <v>1.2515079500000001</v>
      </c>
      <c r="F6" s="710">
        <f>B6*G15</f>
        <v>67880.182126350002</v>
      </c>
    </row>
    <row r="7" spans="1:8" ht="43" customHeight="1" x14ac:dyDescent="0.35">
      <c r="A7" s="712" t="s">
        <v>774</v>
      </c>
      <c r="B7" s="510">
        <v>1411220402</v>
      </c>
      <c r="C7" s="710">
        <f>B7*D14</f>
        <v>2399.0746834000001</v>
      </c>
      <c r="D7" s="710">
        <f>B7*E14</f>
        <v>0</v>
      </c>
      <c r="E7" s="710">
        <f>B7*F14</f>
        <v>0</v>
      </c>
      <c r="F7" s="710">
        <f>B7*G14</f>
        <v>2399.0746834000001</v>
      </c>
    </row>
    <row r="8" spans="1:8" ht="25" customHeight="1" x14ac:dyDescent="0.35">
      <c r="A8" s="707"/>
      <c r="C8" s="880" t="s">
        <v>50</v>
      </c>
      <c r="D8" s="880"/>
      <c r="E8" s="880"/>
      <c r="F8" s="643">
        <f>F6+F7</f>
        <v>70279.256809750004</v>
      </c>
    </row>
    <row r="11" spans="1:8" x14ac:dyDescent="0.35">
      <c r="A11" s="514" t="s">
        <v>333</v>
      </c>
      <c r="B11" s="506"/>
      <c r="C11" s="506"/>
      <c r="D11" s="506"/>
      <c r="E11" s="506"/>
      <c r="F11" s="506"/>
      <c r="G11" s="506"/>
      <c r="H11" s="328"/>
    </row>
    <row r="12" spans="1:8" x14ac:dyDescent="0.35">
      <c r="A12" s="841" t="s">
        <v>30</v>
      </c>
      <c r="B12" s="841" t="s">
        <v>735</v>
      </c>
      <c r="C12" s="836"/>
      <c r="D12" s="847" t="s">
        <v>713</v>
      </c>
      <c r="E12" s="848"/>
      <c r="F12" s="848"/>
      <c r="G12" s="849"/>
      <c r="H12" s="26"/>
    </row>
    <row r="13" spans="1:8" ht="17.5" x14ac:dyDescent="0.35">
      <c r="A13" s="841"/>
      <c r="B13" s="677" t="s">
        <v>334</v>
      </c>
      <c r="C13" s="677" t="s">
        <v>24</v>
      </c>
      <c r="D13" s="677" t="s">
        <v>692</v>
      </c>
      <c r="E13" s="677" t="s">
        <v>693</v>
      </c>
      <c r="F13" s="677" t="s">
        <v>694</v>
      </c>
      <c r="G13" s="566" t="s">
        <v>724</v>
      </c>
      <c r="H13" s="26"/>
    </row>
    <row r="14" spans="1:8" x14ac:dyDescent="0.35">
      <c r="A14" s="708" t="s">
        <v>19</v>
      </c>
      <c r="B14" s="517">
        <v>3.5999999999999999E-3</v>
      </c>
      <c r="C14" s="517" t="s">
        <v>336</v>
      </c>
      <c r="D14" s="541">
        <v>1.7E-6</v>
      </c>
      <c r="E14" s="541">
        <v>0</v>
      </c>
      <c r="F14" s="541">
        <v>0</v>
      </c>
      <c r="G14" s="541">
        <v>1.7E-6</v>
      </c>
      <c r="H14" s="26"/>
    </row>
    <row r="15" spans="1:8" ht="18.5" x14ac:dyDescent="0.35">
      <c r="A15" s="708" t="s">
        <v>20</v>
      </c>
      <c r="B15" s="517">
        <v>3.7999999999999999E-2</v>
      </c>
      <c r="C15" s="517" t="s">
        <v>903</v>
      </c>
      <c r="D15" s="541">
        <v>1.887E-3</v>
      </c>
      <c r="E15" s="541">
        <v>3.7E-8</v>
      </c>
      <c r="F15" s="541">
        <v>3.5000000000000002E-8</v>
      </c>
      <c r="G15" s="541">
        <v>1.898355E-3</v>
      </c>
      <c r="H15" s="26"/>
    </row>
    <row r="16" spans="1:8" x14ac:dyDescent="0.35">
      <c r="A16" s="709" t="s">
        <v>346</v>
      </c>
      <c r="B16" s="517">
        <v>3.8679999999999999E-2</v>
      </c>
      <c r="C16" s="517" t="s">
        <v>904</v>
      </c>
      <c r="D16" s="541">
        <v>2.7529999999999998E-3</v>
      </c>
      <c r="E16" s="541">
        <v>2.5999999999999998E-8</v>
      </c>
      <c r="F16" s="541">
        <v>3.1E-8</v>
      </c>
      <c r="G16" s="541">
        <v>2.7628879999999998E-3</v>
      </c>
      <c r="H16" s="26"/>
    </row>
    <row r="17" spans="1:8" x14ac:dyDescent="0.35">
      <c r="A17" s="709" t="s">
        <v>31</v>
      </c>
      <c r="B17" s="517">
        <v>4.1399999999999999E-2</v>
      </c>
      <c r="C17" s="517" t="s">
        <v>904</v>
      </c>
      <c r="D17" s="541">
        <v>3.156E-3</v>
      </c>
      <c r="E17" s="541">
        <v>5.7000000000000001E-8</v>
      </c>
      <c r="F17" s="541">
        <v>6.4000000000000004E-8</v>
      </c>
      <c r="G17" s="541">
        <v>3.1764970000000003E-3</v>
      </c>
      <c r="H17" s="26"/>
    </row>
    <row r="18" spans="1:8" x14ac:dyDescent="0.35">
      <c r="A18" s="709" t="s">
        <v>13</v>
      </c>
      <c r="B18" s="517">
        <v>2.5530000000000001E-2</v>
      </c>
      <c r="C18" s="517" t="s">
        <v>904</v>
      </c>
      <c r="D18" s="541">
        <v>1.5150000000000001E-3</v>
      </c>
      <c r="E18" s="541">
        <v>2.7E-8</v>
      </c>
      <c r="F18" s="541">
        <v>1.08E-7</v>
      </c>
      <c r="G18" s="541">
        <v>1.547859E-3</v>
      </c>
      <c r="H18" s="26"/>
    </row>
    <row r="19" spans="1:8" x14ac:dyDescent="0.35">
      <c r="A19" s="26"/>
      <c r="B19" s="26"/>
      <c r="C19" s="26"/>
      <c r="D19" s="26"/>
      <c r="E19" s="26"/>
      <c r="F19" s="26"/>
      <c r="G19" s="26"/>
      <c r="H19" s="26"/>
    </row>
    <row r="20" spans="1:8" x14ac:dyDescent="0.35">
      <c r="A20" s="26"/>
      <c r="B20" s="26"/>
      <c r="C20" s="26"/>
      <c r="D20" s="26"/>
      <c r="E20" s="26"/>
      <c r="F20" s="26"/>
      <c r="G20" s="26"/>
      <c r="H20" s="26"/>
    </row>
  </sheetData>
  <sheetProtection algorithmName="SHA-512" hashValue="nf6NlXVoxX+XTYvOgcGjLKYnn3HPfTMy3LEN26xWLHfaklrzC0q3TywuSeXIOYUb1WKMBF+iGGf6pYv3S26b/g==" saltValue="nsdbbsu5A25DBgGFqeRiJA==" spinCount="100000" sheet="1" objects="1" scenarios="1"/>
  <protectedRanges>
    <protectedRange algorithmName="SHA-512" hashValue="ppC0bSbTMQrtNw2JdH/08vHJSY5mY8oGIADGNrwXzbGvpCVH3RleLWqNvWaPT94x4xTI0WFSAYLl+ijD1bBVOw==" saltValue="1VjbBj9S+KPcLEgWePcT9g==" spinCount="100000" sqref="A1:XFD1048576" name="Plage1"/>
  </protectedRanges>
  <mergeCells count="5">
    <mergeCell ref="A12:A13"/>
    <mergeCell ref="B12:C12"/>
    <mergeCell ref="D12:G12"/>
    <mergeCell ref="C4:F4"/>
    <mergeCell ref="C8:E8"/>
  </mergeCells>
  <phoneticPr fontId="0" type="noConversion"/>
  <pageMargins left="0.78740157499999996" right="0.78740157499999996" top="0.984251969" bottom="0.984251969" header="0.5" footer="0.5"/>
  <pageSetup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theme="9" tint="-0.499984740745262"/>
    <pageSetUpPr fitToPage="1"/>
  </sheetPr>
  <dimension ref="A1:AL312"/>
  <sheetViews>
    <sheetView showGridLines="0" topLeftCell="B99" zoomScaleNormal="100" workbookViewId="0">
      <selection activeCell="F110" sqref="F110"/>
    </sheetView>
  </sheetViews>
  <sheetFormatPr baseColWidth="10" defaultColWidth="9.296875" defaultRowHeight="13" x14ac:dyDescent="0.3"/>
  <cols>
    <col min="1" max="1" width="15" style="681" customWidth="1"/>
    <col min="2" max="2" width="32.69921875" style="143" customWidth="1"/>
    <col min="3" max="3" width="36.796875" style="143" customWidth="1"/>
    <col min="4" max="4" width="21.296875" style="412" customWidth="1"/>
    <col min="5" max="5" width="20.296875" style="143" customWidth="1"/>
    <col min="6" max="6" width="17" style="143" customWidth="1"/>
    <col min="7" max="8" width="17" style="681" customWidth="1"/>
    <col min="9" max="9" width="18.69921875" style="681" customWidth="1"/>
    <col min="10" max="10" width="26.19921875" style="681" customWidth="1"/>
    <col min="11" max="11" width="16.19921875" style="681" customWidth="1"/>
    <col min="12" max="38" width="9.296875" style="681" customWidth="1"/>
    <col min="39" max="16384" width="9.296875" style="143"/>
  </cols>
  <sheetData>
    <row r="1" spans="1:10" s="70" customFormat="1" ht="27" customHeight="1" x14ac:dyDescent="0.3">
      <c r="A1" s="70" t="s">
        <v>455</v>
      </c>
      <c r="D1" s="194"/>
    </row>
    <row r="2" spans="1:10" s="450" customFormat="1" ht="27" customHeight="1" x14ac:dyDescent="0.3">
      <c r="A2" s="452" t="s">
        <v>635</v>
      </c>
      <c r="D2" s="451"/>
    </row>
    <row r="3" spans="1:10" s="393" customFormat="1" ht="18" x14ac:dyDescent="0.3">
      <c r="B3" s="679"/>
      <c r="C3" s="679"/>
      <c r="D3" s="441" t="s">
        <v>7</v>
      </c>
      <c r="E3" s="464" t="s">
        <v>594</v>
      </c>
      <c r="F3" s="115"/>
      <c r="G3" s="115"/>
      <c r="I3" s="116"/>
      <c r="J3" s="116"/>
    </row>
    <row r="4" spans="1:10" s="393" customFormat="1" ht="15" x14ac:dyDescent="0.3">
      <c r="A4" s="679"/>
      <c r="B4" s="679"/>
      <c r="C4" s="679"/>
      <c r="D4" s="443" t="s">
        <v>2</v>
      </c>
      <c r="E4" s="120">
        <f>AVERAGE(H15,E86)</f>
        <v>664714.54606243339</v>
      </c>
      <c r="F4" s="117"/>
      <c r="G4" s="117"/>
      <c r="I4" s="116"/>
      <c r="J4" s="116"/>
    </row>
    <row r="5" spans="1:10" s="393" customFormat="1" ht="15" x14ac:dyDescent="0.3">
      <c r="A5" s="679"/>
      <c r="B5" s="679"/>
      <c r="C5" s="679"/>
      <c r="D5" s="443" t="s">
        <v>3</v>
      </c>
      <c r="E5" s="120">
        <f>AVERAGE(H16,E87)</f>
        <v>600847.6289103569</v>
      </c>
      <c r="F5" s="117"/>
      <c r="G5" s="117"/>
      <c r="I5" s="116"/>
      <c r="J5" s="116"/>
    </row>
    <row r="6" spans="1:10" s="393" customFormat="1" ht="15" x14ac:dyDescent="0.3">
      <c r="A6" s="679"/>
      <c r="B6" s="679"/>
      <c r="C6" s="679"/>
      <c r="D6" s="443" t="s">
        <v>4</v>
      </c>
      <c r="E6" s="120">
        <f>AVERAGE(H17,E88)</f>
        <v>4918.18425149209</v>
      </c>
      <c r="F6" s="117"/>
      <c r="G6" s="117"/>
      <c r="I6" s="116"/>
      <c r="J6" s="116"/>
    </row>
    <row r="7" spans="1:10" s="393" customFormat="1" ht="15" x14ac:dyDescent="0.3">
      <c r="A7" s="679"/>
      <c r="B7" s="679"/>
      <c r="C7" s="679"/>
      <c r="D7" s="443" t="s">
        <v>5</v>
      </c>
      <c r="E7" s="120">
        <f>AVERAGE(H18,SUM(E89:E90))</f>
        <v>69421.7901985504</v>
      </c>
      <c r="F7" s="117"/>
      <c r="G7" s="117"/>
      <c r="I7" s="116"/>
      <c r="J7" s="116"/>
    </row>
    <row r="8" spans="1:10" s="393" customFormat="1" ht="15" x14ac:dyDescent="0.3">
      <c r="A8" s="118"/>
      <c r="B8" s="118"/>
      <c r="C8" s="118"/>
      <c r="D8" s="443" t="s">
        <v>6</v>
      </c>
      <c r="E8" s="120">
        <f>AVERAGE(H19,E91)</f>
        <v>632267.36786876759</v>
      </c>
      <c r="F8" s="117"/>
      <c r="G8" s="117"/>
      <c r="I8" s="116"/>
      <c r="J8" s="116"/>
    </row>
    <row r="9" spans="1:10" s="393" customFormat="1" ht="15" x14ac:dyDescent="0.3">
      <c r="A9" s="118"/>
      <c r="B9" s="118"/>
      <c r="C9" s="118"/>
      <c r="D9" s="443" t="s">
        <v>254</v>
      </c>
      <c r="E9" s="120">
        <f>E92</f>
        <v>295244.04286071559</v>
      </c>
      <c r="F9" s="117"/>
      <c r="G9" s="117"/>
      <c r="I9" s="116"/>
      <c r="J9" s="116"/>
    </row>
    <row r="10" spans="1:10" s="393" customFormat="1" ht="15" x14ac:dyDescent="0.3">
      <c r="A10" s="118"/>
      <c r="B10" s="118"/>
      <c r="C10" s="118"/>
      <c r="D10" s="434" t="s">
        <v>50</v>
      </c>
      <c r="E10" s="435">
        <f>SUM(E4:E9)</f>
        <v>2267413.560152316</v>
      </c>
      <c r="F10" s="119"/>
      <c r="G10" s="119"/>
      <c r="I10" s="116"/>
      <c r="J10" s="116"/>
    </row>
    <row r="11" spans="1:10" s="393" customFormat="1" ht="15" x14ac:dyDescent="0.3">
      <c r="A11" s="118"/>
      <c r="B11" s="118"/>
      <c r="C11" s="118"/>
      <c r="D11" s="118"/>
      <c r="E11" s="118"/>
      <c r="F11" s="118"/>
      <c r="G11" s="118"/>
      <c r="H11" s="118"/>
      <c r="I11" s="116"/>
      <c r="J11" s="116"/>
    </row>
    <row r="12" spans="1:10" s="393" customFormat="1" ht="19.5" customHeight="1" x14ac:dyDescent="0.3">
      <c r="A12" s="894" t="s">
        <v>150</v>
      </c>
      <c r="B12" s="894"/>
      <c r="C12" s="894"/>
      <c r="D12" s="894"/>
      <c r="E12" s="894"/>
      <c r="F12" s="894"/>
      <c r="G12" s="894"/>
      <c r="H12" s="894"/>
    </row>
    <row r="13" spans="1:10" s="393" customFormat="1" ht="19.5" customHeight="1" x14ac:dyDescent="0.3">
      <c r="A13" s="395" t="s">
        <v>253</v>
      </c>
      <c r="D13" s="396"/>
    </row>
    <row r="14" spans="1:10" s="393" customFormat="1" ht="26.25" customHeight="1" x14ac:dyDescent="0.3">
      <c r="A14" s="393" t="s">
        <v>144</v>
      </c>
      <c r="B14" s="139"/>
      <c r="C14" s="139"/>
      <c r="D14" s="441" t="s">
        <v>7</v>
      </c>
      <c r="E14" s="442" t="s">
        <v>626</v>
      </c>
      <c r="F14" s="442" t="s">
        <v>627</v>
      </c>
      <c r="G14" s="442" t="s">
        <v>628</v>
      </c>
      <c r="H14" s="439" t="s">
        <v>612</v>
      </c>
    </row>
    <row r="15" spans="1:10" s="393" customFormat="1" ht="16" customHeight="1" x14ac:dyDescent="0.3">
      <c r="B15" s="139"/>
      <c r="C15" s="139"/>
      <c r="D15" s="443" t="s">
        <v>2</v>
      </c>
      <c r="E15" s="120">
        <f>D75</f>
        <v>691860.5055241395</v>
      </c>
      <c r="F15" s="120">
        <f t="shared" ref="E15:H19" si="0">E75</f>
        <v>41.500336697739385</v>
      </c>
      <c r="G15" s="120">
        <f t="shared" si="0"/>
        <v>7.4779745065744514</v>
      </c>
      <c r="H15" s="120">
        <f t="shared" si="0"/>
        <v>695126.45034454216</v>
      </c>
    </row>
    <row r="16" spans="1:10" s="393" customFormat="1" ht="16" customHeight="1" x14ac:dyDescent="0.3">
      <c r="A16" s="395"/>
      <c r="B16" s="139"/>
      <c r="C16" s="139"/>
      <c r="D16" s="443" t="s">
        <v>3</v>
      </c>
      <c r="E16" s="120">
        <f t="shared" si="0"/>
        <v>633311.82128045056</v>
      </c>
      <c r="F16" s="120">
        <f t="shared" si="0"/>
        <v>37.944651393413665</v>
      </c>
      <c r="G16" s="120">
        <f t="shared" si="0"/>
        <v>7.0788865521992568</v>
      </c>
      <c r="H16" s="120">
        <f t="shared" si="0"/>
        <v>636369.94575784134</v>
      </c>
    </row>
    <row r="17" spans="1:8" s="393" customFormat="1" ht="16" customHeight="1" x14ac:dyDescent="0.3">
      <c r="A17" s="395"/>
      <c r="B17" s="139"/>
      <c r="C17" s="139"/>
      <c r="D17" s="443" t="s">
        <v>4</v>
      </c>
      <c r="E17" s="120">
        <f>D77</f>
        <v>5459.6402798160325</v>
      </c>
      <c r="F17" s="120">
        <f t="shared" si="0"/>
        <v>1.8230793526932478</v>
      </c>
      <c r="G17" s="120">
        <f t="shared" si="0"/>
        <v>9.7073056442107994E-2</v>
      </c>
      <c r="H17" s="120">
        <f t="shared" si="0"/>
        <v>5534.1450344531113</v>
      </c>
    </row>
    <row r="18" spans="1:8" s="393" customFormat="1" ht="16" customHeight="1" x14ac:dyDescent="0.3">
      <c r="A18" s="395"/>
      <c r="B18" s="139"/>
      <c r="C18" s="139"/>
      <c r="D18" s="443" t="s">
        <v>5</v>
      </c>
      <c r="E18" s="120">
        <f t="shared" si="0"/>
        <v>61060.270503368985</v>
      </c>
      <c r="F18" s="120">
        <f t="shared" si="0"/>
        <v>2.3529515358973412</v>
      </c>
      <c r="G18" s="120">
        <f t="shared" si="0"/>
        <v>3.840423971051115</v>
      </c>
      <c r="H18" s="120">
        <f t="shared" si="0"/>
        <v>62263.540635139652</v>
      </c>
    </row>
    <row r="19" spans="1:8" s="393" customFormat="1" ht="16" customHeight="1" x14ac:dyDescent="0.3">
      <c r="A19" s="395"/>
      <c r="B19" s="139"/>
      <c r="C19" s="139"/>
      <c r="D19" s="443" t="s">
        <v>6</v>
      </c>
      <c r="E19" s="120">
        <f t="shared" si="0"/>
        <v>625521.69734237576</v>
      </c>
      <c r="F19" s="120">
        <f t="shared" si="0"/>
        <v>24.104417264539428</v>
      </c>
      <c r="G19" s="120">
        <f t="shared" si="0"/>
        <v>39.342579079365457</v>
      </c>
      <c r="H19" s="120">
        <f t="shared" si="0"/>
        <v>637848.39633964014</v>
      </c>
    </row>
    <row r="20" spans="1:8" s="393" customFormat="1" ht="20.149999999999999" customHeight="1" x14ac:dyDescent="0.3">
      <c r="A20" s="395"/>
      <c r="B20" s="139"/>
      <c r="C20" s="139"/>
      <c r="D20" s="434" t="s">
        <v>50</v>
      </c>
      <c r="E20" s="444">
        <f>SUM(E15:E19)</f>
        <v>2017213.9349301506</v>
      </c>
      <c r="F20" s="444">
        <f>SUM(F15:F19)</f>
        <v>107.72543624428306</v>
      </c>
      <c r="G20" s="444">
        <f>SUM(G15:G19)</f>
        <v>57.836937165632392</v>
      </c>
      <c r="H20" s="444">
        <f>SUM(H15:H19)</f>
        <v>2037142.4781116163</v>
      </c>
    </row>
    <row r="21" spans="1:8" ht="19.5" customHeight="1" x14ac:dyDescent="0.3">
      <c r="A21" s="67" t="s">
        <v>152</v>
      </c>
      <c r="B21" s="682"/>
      <c r="C21" s="682"/>
      <c r="D21" s="682"/>
      <c r="E21" s="682"/>
      <c r="F21" s="682"/>
      <c r="G21" s="682"/>
      <c r="H21" s="682"/>
    </row>
    <row r="22" spans="1:8" ht="19.5" customHeight="1" x14ac:dyDescent="0.3">
      <c r="A22" s="67"/>
      <c r="B22" s="682"/>
      <c r="C22" s="682"/>
      <c r="D22" s="682"/>
      <c r="E22" s="682"/>
      <c r="F22" s="682"/>
      <c r="G22" s="682"/>
      <c r="H22" s="682"/>
    </row>
    <row r="23" spans="1:8" ht="19.5" customHeight="1" x14ac:dyDescent="0.3">
      <c r="A23" s="887" t="s">
        <v>608</v>
      </c>
      <c r="B23" s="895"/>
      <c r="C23" s="680" t="s">
        <v>169</v>
      </c>
      <c r="D23" s="683" t="s">
        <v>172</v>
      </c>
      <c r="E23" s="682"/>
      <c r="F23" s="682"/>
      <c r="G23" s="682"/>
      <c r="H23" s="682"/>
    </row>
    <row r="24" spans="1:8" ht="19.5" customHeight="1" x14ac:dyDescent="0.3">
      <c r="A24" s="889"/>
      <c r="B24" s="895"/>
      <c r="C24" s="680" t="s">
        <v>168</v>
      </c>
      <c r="D24" s="122">
        <f>INTRO!B20/INTRO!B21*D30*1000</f>
        <v>629670046.00819719</v>
      </c>
      <c r="E24" s="682"/>
      <c r="F24" s="682"/>
      <c r="G24" s="682"/>
      <c r="H24" s="682"/>
    </row>
    <row r="25" spans="1:8" ht="19.5" customHeight="1" x14ac:dyDescent="0.3">
      <c r="A25" s="67"/>
      <c r="B25" s="682"/>
      <c r="C25" s="680" t="s">
        <v>105</v>
      </c>
      <c r="D25" s="122">
        <f>INTRO!B20/INTRO!B21*D31*1000</f>
        <v>210580059.22761646</v>
      </c>
      <c r="E25" s="682"/>
      <c r="F25" s="682"/>
      <c r="G25" s="682"/>
      <c r="H25" s="682"/>
    </row>
    <row r="26" spans="1:8" ht="19.5" customHeight="1" x14ac:dyDescent="0.3">
      <c r="A26" s="67"/>
      <c r="B26" s="682"/>
      <c r="C26" s="680" t="s">
        <v>256</v>
      </c>
      <c r="D26" s="122">
        <v>287738</v>
      </c>
      <c r="E26" s="682"/>
      <c r="F26" s="682"/>
      <c r="G26" s="682"/>
      <c r="H26" s="682"/>
    </row>
    <row r="27" spans="1:8" ht="19.5" customHeight="1" x14ac:dyDescent="0.3">
      <c r="A27" s="67"/>
      <c r="B27" s="682"/>
      <c r="C27" s="397"/>
      <c r="D27" s="123"/>
      <c r="E27" s="682"/>
      <c r="F27" s="682"/>
      <c r="G27" s="682"/>
      <c r="H27" s="682"/>
    </row>
    <row r="28" spans="1:8" ht="19.5" customHeight="1" x14ac:dyDescent="0.3">
      <c r="A28" s="67"/>
      <c r="B28" s="682"/>
      <c r="C28" s="397"/>
      <c r="D28" s="123"/>
      <c r="E28" s="682"/>
      <c r="F28" s="682"/>
      <c r="G28" s="682"/>
      <c r="H28" s="682"/>
    </row>
    <row r="29" spans="1:8" ht="27.75" customHeight="1" x14ac:dyDescent="0.3">
      <c r="A29" s="881" t="s">
        <v>255</v>
      </c>
      <c r="B29" s="882"/>
      <c r="C29" s="680" t="s">
        <v>169</v>
      </c>
      <c r="D29" s="683" t="s">
        <v>486</v>
      </c>
      <c r="E29" s="127" t="s">
        <v>173</v>
      </c>
      <c r="F29" s="682"/>
      <c r="G29" s="682"/>
      <c r="H29" s="682"/>
    </row>
    <row r="30" spans="1:8" ht="19.5" customHeight="1" x14ac:dyDescent="0.3">
      <c r="A30" s="398" t="s">
        <v>607</v>
      </c>
      <c r="B30" s="399"/>
      <c r="C30" s="680" t="s">
        <v>168</v>
      </c>
      <c r="D30" s="122">
        <v>9097393</v>
      </c>
      <c r="E30" s="903">
        <f>D30/D31</f>
        <v>2.9901693841181105</v>
      </c>
      <c r="F30" s="682"/>
      <c r="G30" s="682"/>
      <c r="H30" s="682"/>
    </row>
    <row r="31" spans="1:8" ht="19.5" customHeight="1" x14ac:dyDescent="0.3">
      <c r="B31" s="682"/>
      <c r="C31" s="680" t="s">
        <v>105</v>
      </c>
      <c r="D31" s="122">
        <v>3042434</v>
      </c>
      <c r="E31" s="904"/>
      <c r="F31" s="682"/>
      <c r="G31" s="682"/>
      <c r="H31" s="682"/>
    </row>
    <row r="32" spans="1:8" ht="19.5" customHeight="1" x14ac:dyDescent="0.3">
      <c r="A32" s="67"/>
      <c r="B32" s="682"/>
      <c r="C32" s="682"/>
      <c r="D32" s="682"/>
      <c r="E32" s="682"/>
      <c r="F32" s="682"/>
      <c r="G32" s="682"/>
      <c r="H32" s="682"/>
    </row>
    <row r="33" spans="1:11" ht="19.5" customHeight="1" x14ac:dyDescent="0.3">
      <c r="A33" s="887" t="s">
        <v>407</v>
      </c>
      <c r="B33" s="895"/>
      <c r="C33" s="680" t="s">
        <v>169</v>
      </c>
      <c r="D33" s="683" t="s">
        <v>172</v>
      </c>
      <c r="E33" s="682"/>
      <c r="F33" s="682"/>
      <c r="G33" s="682"/>
      <c r="H33" s="682"/>
    </row>
    <row r="34" spans="1:11" ht="19.5" customHeight="1" x14ac:dyDescent="0.3">
      <c r="A34" s="889"/>
      <c r="B34" s="895"/>
      <c r="C34" s="680" t="s">
        <v>168</v>
      </c>
      <c r="D34" s="122">
        <f>D24</f>
        <v>629670046.00819719</v>
      </c>
      <c r="E34" s="682"/>
      <c r="F34" s="682"/>
      <c r="G34" s="682"/>
      <c r="H34" s="682"/>
    </row>
    <row r="35" spans="1:11" ht="19.5" customHeight="1" x14ac:dyDescent="0.3">
      <c r="A35" s="67"/>
      <c r="B35" s="682"/>
      <c r="C35" s="680" t="s">
        <v>105</v>
      </c>
      <c r="D35" s="122">
        <f>D34/E30</f>
        <v>210580059.22761649</v>
      </c>
      <c r="E35" s="682"/>
      <c r="F35" s="682"/>
      <c r="G35" s="682"/>
      <c r="H35" s="682"/>
    </row>
    <row r="36" spans="1:11" ht="19.5" customHeight="1" x14ac:dyDescent="0.3">
      <c r="A36" s="67"/>
      <c r="B36" s="682"/>
      <c r="C36" s="682"/>
      <c r="D36" s="682"/>
      <c r="E36" s="682"/>
      <c r="F36" s="682"/>
      <c r="G36" s="682"/>
      <c r="H36" s="682"/>
    </row>
    <row r="37" spans="1:11" ht="19.5" customHeight="1" x14ac:dyDescent="0.3">
      <c r="A37" s="887" t="s">
        <v>606</v>
      </c>
      <c r="B37" s="888"/>
      <c r="C37" s="885" t="s">
        <v>166</v>
      </c>
      <c r="D37" s="886"/>
      <c r="E37" s="683" t="s">
        <v>2</v>
      </c>
      <c r="F37" s="683" t="s">
        <v>3</v>
      </c>
      <c r="G37" s="683" t="s">
        <v>4</v>
      </c>
      <c r="H37" s="127" t="s">
        <v>167</v>
      </c>
      <c r="I37" s="683" t="s">
        <v>6</v>
      </c>
      <c r="J37" s="143"/>
      <c r="K37" s="143"/>
    </row>
    <row r="38" spans="1:11" ht="19.5" customHeight="1" x14ac:dyDescent="0.3">
      <c r="A38" s="889"/>
      <c r="B38" s="888"/>
      <c r="C38" s="716" t="s">
        <v>154</v>
      </c>
      <c r="D38" s="684">
        <v>2017</v>
      </c>
      <c r="E38" s="69">
        <v>213014</v>
      </c>
      <c r="F38" s="69">
        <v>283100</v>
      </c>
      <c r="G38" s="69">
        <v>10008</v>
      </c>
      <c r="H38" s="385">
        <v>2300</v>
      </c>
      <c r="I38" s="69">
        <v>21693</v>
      </c>
      <c r="J38" s="143"/>
      <c r="K38" s="143"/>
    </row>
    <row r="39" spans="1:11" ht="34" customHeight="1" x14ac:dyDescent="0.3">
      <c r="A39" s="889"/>
      <c r="B39" s="888"/>
      <c r="C39" s="717" t="s">
        <v>155</v>
      </c>
      <c r="D39" s="684">
        <v>2016</v>
      </c>
      <c r="E39" s="69">
        <v>189256</v>
      </c>
      <c r="F39" s="69">
        <v>241990</v>
      </c>
      <c r="G39" s="69">
        <v>12382</v>
      </c>
      <c r="H39" s="385">
        <v>1347</v>
      </c>
      <c r="I39" s="69">
        <v>15884</v>
      </c>
      <c r="J39" s="143"/>
      <c r="K39" s="143"/>
    </row>
    <row r="40" spans="1:11" ht="19.5" customHeight="1" x14ac:dyDescent="0.3">
      <c r="A40" s="67"/>
      <c r="B40" s="682"/>
      <c r="C40" s="717" t="s">
        <v>156</v>
      </c>
      <c r="D40" s="684">
        <v>2015</v>
      </c>
      <c r="E40" s="69">
        <v>216704</v>
      </c>
      <c r="F40" s="69">
        <v>190078</v>
      </c>
      <c r="G40" s="69">
        <v>14274</v>
      </c>
      <c r="H40" s="385">
        <v>1197</v>
      </c>
      <c r="I40" s="69">
        <v>13367</v>
      </c>
      <c r="J40" s="143"/>
      <c r="K40" s="143"/>
    </row>
    <row r="41" spans="1:11" ht="19.5" customHeight="1" x14ac:dyDescent="0.3">
      <c r="A41" s="67"/>
      <c r="B41" s="682"/>
      <c r="C41" s="717" t="s">
        <v>157</v>
      </c>
      <c r="D41" s="684">
        <v>2014</v>
      </c>
      <c r="E41" s="69">
        <v>191161</v>
      </c>
      <c r="F41" s="69">
        <v>165279</v>
      </c>
      <c r="G41" s="69">
        <v>14370</v>
      </c>
      <c r="H41" s="385">
        <v>1374</v>
      </c>
      <c r="I41" s="69">
        <v>10853</v>
      </c>
      <c r="J41" s="143"/>
      <c r="K41" s="143"/>
    </row>
    <row r="42" spans="1:11" ht="19.5" customHeight="1" x14ac:dyDescent="0.3">
      <c r="A42" s="67"/>
      <c r="B42" s="682"/>
      <c r="C42" s="717" t="s">
        <v>158</v>
      </c>
      <c r="D42" s="684">
        <v>2013</v>
      </c>
      <c r="E42" s="69">
        <v>223077</v>
      </c>
      <c r="F42" s="69">
        <v>143506</v>
      </c>
      <c r="G42" s="69">
        <v>12922</v>
      </c>
      <c r="H42" s="385">
        <v>1292</v>
      </c>
      <c r="I42" s="69">
        <v>11145</v>
      </c>
      <c r="J42" s="143"/>
      <c r="K42" s="143"/>
    </row>
    <row r="43" spans="1:11" ht="19.5" customHeight="1" x14ac:dyDescent="0.3">
      <c r="A43" s="67"/>
      <c r="B43" s="682"/>
      <c r="C43" s="717" t="s">
        <v>159</v>
      </c>
      <c r="D43" s="684">
        <v>2012</v>
      </c>
      <c r="E43" s="69">
        <v>217772</v>
      </c>
      <c r="F43" s="69">
        <v>125306</v>
      </c>
      <c r="G43" s="69">
        <v>11097</v>
      </c>
      <c r="H43" s="385">
        <v>1182</v>
      </c>
      <c r="I43" s="69">
        <v>11748</v>
      </c>
      <c r="J43" s="143"/>
      <c r="K43" s="143"/>
    </row>
    <row r="44" spans="1:11" ht="19.5" customHeight="1" x14ac:dyDescent="0.3">
      <c r="A44" s="67"/>
      <c r="B44" s="682"/>
      <c r="C44" s="717" t="s">
        <v>160</v>
      </c>
      <c r="D44" s="684">
        <v>2011</v>
      </c>
      <c r="E44" s="69">
        <v>161000</v>
      </c>
      <c r="F44" s="69">
        <v>147381</v>
      </c>
      <c r="G44" s="69">
        <v>8267</v>
      </c>
      <c r="H44" s="385">
        <v>1671</v>
      </c>
      <c r="I44" s="69">
        <v>9961</v>
      </c>
      <c r="J44" s="143"/>
      <c r="K44" s="143"/>
    </row>
    <row r="45" spans="1:11" ht="19.5" customHeight="1" x14ac:dyDescent="0.3">
      <c r="A45" s="682"/>
      <c r="B45" s="682"/>
      <c r="C45" s="717" t="s">
        <v>161</v>
      </c>
      <c r="D45" s="684">
        <v>2010</v>
      </c>
      <c r="E45" s="69">
        <v>226105</v>
      </c>
      <c r="F45" s="69">
        <v>149706</v>
      </c>
      <c r="G45" s="69">
        <v>7586</v>
      </c>
      <c r="H45" s="385">
        <v>1676</v>
      </c>
      <c r="I45" s="69">
        <v>7182</v>
      </c>
      <c r="J45" s="143"/>
      <c r="K45" s="143"/>
    </row>
    <row r="46" spans="1:11" ht="19.5" customHeight="1" x14ac:dyDescent="0.3">
      <c r="A46" s="682"/>
      <c r="B46" s="682"/>
      <c r="C46" s="717" t="s">
        <v>162</v>
      </c>
      <c r="D46" s="684">
        <v>2009</v>
      </c>
      <c r="E46" s="69">
        <v>204347</v>
      </c>
      <c r="F46" s="69">
        <v>97318</v>
      </c>
      <c r="G46" s="69">
        <v>15259</v>
      </c>
      <c r="H46" s="385">
        <v>1652</v>
      </c>
      <c r="I46" s="69">
        <v>8349</v>
      </c>
      <c r="J46" s="143"/>
      <c r="K46" s="143"/>
    </row>
    <row r="47" spans="1:11" ht="19.5" customHeight="1" x14ac:dyDescent="0.3">
      <c r="A47" s="682"/>
      <c r="B47" s="682"/>
      <c r="C47" s="717" t="s">
        <v>163</v>
      </c>
      <c r="D47" s="684">
        <v>2008</v>
      </c>
      <c r="E47" s="69">
        <v>190330</v>
      </c>
      <c r="F47" s="69">
        <v>113490</v>
      </c>
      <c r="G47" s="69">
        <v>12401</v>
      </c>
      <c r="H47" s="385">
        <v>1234</v>
      </c>
      <c r="I47" s="69">
        <v>9492</v>
      </c>
      <c r="J47" s="143"/>
      <c r="K47" s="143"/>
    </row>
    <row r="48" spans="1:11" ht="19.5" customHeight="1" x14ac:dyDescent="0.3">
      <c r="A48" s="682"/>
      <c r="B48" s="682"/>
      <c r="C48" s="717" t="s">
        <v>164</v>
      </c>
      <c r="D48" s="684">
        <v>2007</v>
      </c>
      <c r="E48" s="69">
        <v>206134</v>
      </c>
      <c r="F48" s="69">
        <v>93669</v>
      </c>
      <c r="G48" s="69">
        <v>8447</v>
      </c>
      <c r="H48" s="385">
        <v>1152</v>
      </c>
      <c r="I48" s="69">
        <v>10530</v>
      </c>
      <c r="J48" s="143"/>
      <c r="K48" s="143"/>
    </row>
    <row r="49" spans="1:11" ht="19.5" customHeight="1" x14ac:dyDescent="0.3">
      <c r="A49" s="682"/>
      <c r="B49" s="682"/>
      <c r="C49" s="717" t="s">
        <v>165</v>
      </c>
      <c r="D49" s="684">
        <v>2006</v>
      </c>
      <c r="E49" s="69">
        <v>772564</v>
      </c>
      <c r="F49" s="69">
        <v>468458</v>
      </c>
      <c r="G49" s="69">
        <v>86161</v>
      </c>
      <c r="H49" s="385">
        <v>3331</v>
      </c>
      <c r="I49" s="69">
        <v>68618</v>
      </c>
      <c r="J49" s="143"/>
      <c r="K49" s="143"/>
    </row>
    <row r="50" spans="1:11" ht="19.5" customHeight="1" x14ac:dyDescent="0.3">
      <c r="A50" s="682"/>
      <c r="B50" s="682"/>
      <c r="C50" s="680" t="s">
        <v>16</v>
      </c>
      <c r="D50" s="890">
        <f>SUM(E38:I49)</f>
        <v>5662149</v>
      </c>
      <c r="E50" s="891"/>
      <c r="F50" s="891"/>
      <c r="G50" s="891"/>
      <c r="H50" s="891"/>
      <c r="I50" s="891"/>
      <c r="J50" s="143"/>
      <c r="K50" s="143"/>
    </row>
    <row r="51" spans="1:11" ht="19.5" customHeight="1" x14ac:dyDescent="0.3">
      <c r="A51" s="682"/>
      <c r="B51" s="682"/>
      <c r="C51" s="125"/>
      <c r="D51" s="126"/>
      <c r="E51" s="123"/>
      <c r="F51" s="123"/>
      <c r="G51" s="123"/>
      <c r="H51" s="400"/>
      <c r="I51" s="123"/>
      <c r="J51" s="143"/>
      <c r="K51" s="143"/>
    </row>
    <row r="52" spans="1:11" ht="19.5" customHeight="1" x14ac:dyDescent="0.3">
      <c r="A52" s="682"/>
      <c r="B52" s="682"/>
      <c r="C52" s="885" t="s">
        <v>166</v>
      </c>
      <c r="D52" s="886"/>
      <c r="E52" s="683" t="s">
        <v>2</v>
      </c>
      <c r="F52" s="683" t="s">
        <v>3</v>
      </c>
      <c r="G52" s="683" t="s">
        <v>4</v>
      </c>
      <c r="H52" s="127" t="s">
        <v>167</v>
      </c>
      <c r="I52" s="683" t="s">
        <v>6</v>
      </c>
      <c r="J52" s="143"/>
      <c r="K52" s="143"/>
    </row>
    <row r="53" spans="1:11" ht="19.5" customHeight="1" x14ac:dyDescent="0.3">
      <c r="A53" s="682"/>
      <c r="B53" s="682"/>
      <c r="C53" s="892" t="s">
        <v>757</v>
      </c>
      <c r="D53" s="892"/>
      <c r="E53" s="99">
        <f>SUM(E38:E49)/D50</f>
        <v>0.53185884016828244</v>
      </c>
      <c r="F53" s="99">
        <f>SUM(F38:F49)/D50</f>
        <v>0.39195030014222515</v>
      </c>
      <c r="G53" s="99"/>
      <c r="H53" s="401"/>
      <c r="I53" s="99"/>
      <c r="J53" s="143"/>
      <c r="K53" s="143"/>
    </row>
    <row r="54" spans="1:11" ht="19.5" customHeight="1" x14ac:dyDescent="0.3">
      <c r="A54" s="682"/>
      <c r="B54" s="682"/>
      <c r="C54" s="893" t="s">
        <v>170</v>
      </c>
      <c r="D54" s="893"/>
      <c r="E54" s="99">
        <v>0</v>
      </c>
      <c r="F54" s="99">
        <v>0</v>
      </c>
      <c r="G54" s="99"/>
      <c r="H54" s="401"/>
      <c r="I54" s="99"/>
      <c r="J54" s="143"/>
      <c r="K54" s="143"/>
    </row>
    <row r="55" spans="1:11" ht="19.5" customHeight="1" x14ac:dyDescent="0.3">
      <c r="A55" s="682"/>
      <c r="B55" s="682"/>
      <c r="C55" s="896" t="s">
        <v>16</v>
      </c>
      <c r="D55" s="897"/>
      <c r="E55" s="99">
        <f>E53+E54</f>
        <v>0.53185884016828244</v>
      </c>
      <c r="F55" s="99">
        <f>F53+F54</f>
        <v>0.39195030014222515</v>
      </c>
      <c r="G55" s="99">
        <f>SUM(G38:G49)/$D$50</f>
        <v>3.764895625318232E-2</v>
      </c>
      <c r="H55" s="386">
        <f>SUM(H38:H49)/$D$50</f>
        <v>3.4276738390317881E-3</v>
      </c>
      <c r="I55" s="99">
        <f>SUM(I38:I49)/$D$50</f>
        <v>3.5114229597278349E-2</v>
      </c>
      <c r="J55" s="143"/>
      <c r="K55" s="143"/>
    </row>
    <row r="56" spans="1:11" ht="19.5" customHeight="1" x14ac:dyDescent="0.3">
      <c r="A56" s="682"/>
      <c r="B56" s="682"/>
      <c r="C56" s="682"/>
      <c r="D56" s="682"/>
      <c r="E56" s="402">
        <f>SUM(E38:E49)/D50</f>
        <v>0.53185884016828244</v>
      </c>
      <c r="F56" s="402"/>
      <c r="G56" s="402"/>
      <c r="H56" s="402"/>
      <c r="I56" s="403"/>
    </row>
    <row r="57" spans="1:11" ht="14.25" customHeight="1" x14ac:dyDescent="0.3">
      <c r="A57" s="398"/>
      <c r="B57" s="67"/>
      <c r="C57" s="67"/>
      <c r="D57" s="404"/>
      <c r="E57" s="384"/>
      <c r="F57" s="384"/>
      <c r="G57" s="384"/>
      <c r="H57" s="384"/>
      <c r="I57" s="67"/>
    </row>
    <row r="58" spans="1:11" ht="14.25" customHeight="1" x14ac:dyDescent="0.3">
      <c r="A58" s="898" t="s">
        <v>315</v>
      </c>
      <c r="B58" s="899"/>
      <c r="C58" s="680" t="s">
        <v>169</v>
      </c>
      <c r="D58" s="683" t="s">
        <v>2</v>
      </c>
      <c r="E58" s="683" t="s">
        <v>3</v>
      </c>
      <c r="F58" s="683" t="s">
        <v>4</v>
      </c>
      <c r="G58" s="127" t="s">
        <v>167</v>
      </c>
      <c r="H58" s="683" t="s">
        <v>6</v>
      </c>
      <c r="I58" s="128"/>
    </row>
    <row r="59" spans="1:11" ht="20.149999999999999" customHeight="1" x14ac:dyDescent="0.3">
      <c r="A59" s="898"/>
      <c r="B59" s="899"/>
      <c r="C59" s="680" t="s">
        <v>257</v>
      </c>
      <c r="D59" s="388">
        <f>8840/(8840+8050+1930+71)</f>
        <v>0.46794769996294533</v>
      </c>
      <c r="E59" s="388">
        <f>8050/(8840+8050+1930+71)</f>
        <v>0.42612884442327031</v>
      </c>
      <c r="F59" s="388">
        <f>71/(8840+8050+1930+71)</f>
        <v>3.7584034725530674E-3</v>
      </c>
      <c r="G59" s="388">
        <f>1930*H55/(H55+I55)/(8840+8050+1930+71)</f>
        <v>9.0859154651377737E-3</v>
      </c>
      <c r="H59" s="388">
        <f>1930*I55/(H55+I55)/(8840+8050+1930+71)</f>
        <v>9.3079136676093494E-2</v>
      </c>
      <c r="I59" s="387"/>
    </row>
    <row r="60" spans="1:11" ht="20.149999999999999" customHeight="1" x14ac:dyDescent="0.3">
      <c r="A60" s="900" t="s">
        <v>611</v>
      </c>
      <c r="B60" s="900"/>
      <c r="C60" s="680" t="s">
        <v>258</v>
      </c>
      <c r="D60" s="389">
        <f>176/(176+208+7830)</f>
        <v>2.1426832237643047E-2</v>
      </c>
      <c r="E60" s="389">
        <f>208/(176+208+7830)</f>
        <v>2.532261991721451E-2</v>
      </c>
      <c r="F60" s="389">
        <v>0</v>
      </c>
      <c r="G60" s="389">
        <f>7830*H55/(H55+I55)/(176+208+7830)</f>
        <v>8.4776092345591914E-2</v>
      </c>
      <c r="H60" s="389">
        <f>7830*I55/(H55+I55)/(176+208+7830)</f>
        <v>0.86847445549955049</v>
      </c>
      <c r="I60" s="387"/>
    </row>
    <row r="61" spans="1:11" ht="14.25" customHeight="1" x14ac:dyDescent="0.3">
      <c r="A61" s="900"/>
      <c r="B61" s="900"/>
      <c r="C61" s="397"/>
      <c r="D61" s="405"/>
      <c r="E61" s="405"/>
      <c r="F61" s="405"/>
      <c r="G61" s="405"/>
      <c r="H61" s="405"/>
      <c r="I61" s="405"/>
    </row>
    <row r="62" spans="1:11" ht="14.25" customHeight="1" x14ac:dyDescent="0.3">
      <c r="A62" s="901"/>
      <c r="B62" s="901"/>
      <c r="C62" s="406"/>
      <c r="D62" s="407"/>
      <c r="E62" s="406"/>
      <c r="F62" s="406"/>
      <c r="G62" s="67"/>
      <c r="H62" s="67"/>
      <c r="I62" s="130"/>
    </row>
    <row r="63" spans="1:11" ht="14.25" customHeight="1" x14ac:dyDescent="0.3">
      <c r="A63" s="901"/>
      <c r="B63" s="901"/>
      <c r="C63" s="406"/>
      <c r="D63" s="408"/>
      <c r="E63" s="406"/>
      <c r="F63" s="406"/>
      <c r="G63" s="67"/>
      <c r="H63" s="67"/>
      <c r="I63" s="123"/>
    </row>
    <row r="64" spans="1:11" ht="14.25" customHeight="1" x14ac:dyDescent="0.3">
      <c r="A64" s="143"/>
      <c r="C64" s="409"/>
      <c r="D64" s="410"/>
      <c r="E64" s="409"/>
      <c r="F64" s="409"/>
      <c r="G64" s="411"/>
      <c r="H64" s="411"/>
      <c r="I64" s="123"/>
    </row>
    <row r="65" spans="1:9" ht="14.25" customHeight="1" x14ac:dyDescent="0.3">
      <c r="A65" s="898" t="s">
        <v>259</v>
      </c>
      <c r="B65" s="895"/>
      <c r="C65" s="680" t="s">
        <v>174</v>
      </c>
      <c r="D65" s="131">
        <f>D59*$D$34</f>
        <v>294652649.76509786</v>
      </c>
      <c r="E65" s="131">
        <f>E59*$D$34</f>
        <v>268320569.07342052</v>
      </c>
      <c r="F65" s="131">
        <f>F59*$D$34</f>
        <v>2366554.0874798582</v>
      </c>
      <c r="G65" s="131">
        <f>G59*$D$34</f>
        <v>5721128.808959892</v>
      </c>
      <c r="H65" s="131">
        <f>H59*$D$34</f>
        <v>58609144.273239061</v>
      </c>
      <c r="I65" s="132"/>
    </row>
    <row r="66" spans="1:9" ht="14.25" customHeight="1" x14ac:dyDescent="0.3">
      <c r="A66" s="889"/>
      <c r="B66" s="895"/>
      <c r="C66" s="685" t="s">
        <v>171</v>
      </c>
      <c r="D66" s="122">
        <f>D65*E53/E55</f>
        <v>294652649.76509786</v>
      </c>
      <c r="E66" s="122">
        <f>E65*F53/F55</f>
        <v>268320569.07342052</v>
      </c>
      <c r="F66" s="122"/>
      <c r="G66" s="122"/>
      <c r="H66" s="122"/>
      <c r="I66" s="132"/>
    </row>
    <row r="67" spans="1:9" ht="14.25" customHeight="1" x14ac:dyDescent="0.3">
      <c r="A67" s="398"/>
      <c r="B67" s="67"/>
      <c r="C67" s="685" t="s">
        <v>170</v>
      </c>
      <c r="D67" s="122">
        <f>D65*E54/E55</f>
        <v>0</v>
      </c>
      <c r="E67" s="122">
        <f>E65*F54/F55</f>
        <v>0</v>
      </c>
      <c r="F67" s="122"/>
      <c r="G67" s="122"/>
      <c r="H67" s="122"/>
      <c r="I67" s="132"/>
    </row>
    <row r="68" spans="1:9" ht="14.25" customHeight="1" x14ac:dyDescent="0.3">
      <c r="A68" s="398"/>
      <c r="B68" s="67"/>
      <c r="C68" s="680" t="s">
        <v>405</v>
      </c>
      <c r="D68" s="131">
        <f>D59*$D$26</f>
        <v>134646.33529193795</v>
      </c>
      <c r="E68" s="131">
        <f>E59*$D$26</f>
        <v>122613.46143666295</v>
      </c>
      <c r="F68" s="131">
        <f>F59*$D$26</f>
        <v>1081.4354983854746</v>
      </c>
      <c r="G68" s="131">
        <f>G59*$D$26</f>
        <v>2614.3631441078128</v>
      </c>
      <c r="H68" s="131">
        <f>H59*$D$26</f>
        <v>26782.404628905788</v>
      </c>
      <c r="I68" s="132"/>
    </row>
    <row r="69" spans="1:9" ht="14.25" customHeight="1" x14ac:dyDescent="0.3">
      <c r="A69" s="398"/>
      <c r="B69" s="67"/>
      <c r="C69" s="685" t="s">
        <v>171</v>
      </c>
      <c r="D69" s="122">
        <f>D68*E53/E55</f>
        <v>134646.33529193795</v>
      </c>
      <c r="E69" s="122">
        <f>E68*F53/F55</f>
        <v>122613.46143666295</v>
      </c>
      <c r="F69" s="122"/>
      <c r="G69" s="122"/>
      <c r="H69" s="122"/>
      <c r="I69" s="133"/>
    </row>
    <row r="70" spans="1:9" ht="14.25" customHeight="1" x14ac:dyDescent="0.3">
      <c r="A70" s="384"/>
      <c r="B70" s="384"/>
      <c r="C70" s="685" t="s">
        <v>170</v>
      </c>
      <c r="D70" s="122">
        <f>D68*E54/E55</f>
        <v>0</v>
      </c>
      <c r="E70" s="122">
        <f>E68*F54/F55</f>
        <v>0</v>
      </c>
      <c r="F70" s="122"/>
      <c r="G70" s="122"/>
      <c r="H70" s="122"/>
      <c r="I70" s="67"/>
    </row>
    <row r="71" spans="1:9" ht="14.25" customHeight="1" x14ac:dyDescent="0.3">
      <c r="C71" s="680" t="s">
        <v>175</v>
      </c>
      <c r="D71" s="131">
        <f>D60*$D$35</f>
        <v>4512063.6016630754</v>
      </c>
      <c r="E71" s="131">
        <f>E60*$D$35</f>
        <v>5332438.8019654527</v>
      </c>
      <c r="F71" s="131">
        <f>F60*$D$35</f>
        <v>0</v>
      </c>
      <c r="G71" s="131">
        <f>G60*$D$35</f>
        <v>17852154.547220629</v>
      </c>
      <c r="H71" s="131">
        <f>H60*$D$35</f>
        <v>182883402.27676731</v>
      </c>
    </row>
    <row r="72" spans="1:9" ht="14.25" customHeight="1" x14ac:dyDescent="0.3">
      <c r="H72" s="134"/>
    </row>
    <row r="73" spans="1:9" ht="14.25" customHeight="1" x14ac:dyDescent="0.3">
      <c r="H73" s="134"/>
    </row>
    <row r="74" spans="1:9" ht="27" customHeight="1" x14ac:dyDescent="0.3">
      <c r="A74" s="67" t="s">
        <v>0</v>
      </c>
      <c r="B74" s="384"/>
      <c r="C74" s="431" t="s">
        <v>7</v>
      </c>
      <c r="D74" s="432" t="s">
        <v>626</v>
      </c>
      <c r="E74" s="432" t="s">
        <v>627</v>
      </c>
      <c r="F74" s="432" t="s">
        <v>628</v>
      </c>
      <c r="G74" s="439" t="s">
        <v>612</v>
      </c>
      <c r="H74" s="134"/>
    </row>
    <row r="75" spans="1:9" ht="16" customHeight="1" x14ac:dyDescent="0.3">
      <c r="A75" s="67"/>
      <c r="B75" s="384"/>
      <c r="C75" s="433" t="s">
        <v>2</v>
      </c>
      <c r="D75" s="69">
        <f>$D$66*'Coefficients d''émissions'!C14+$D$67*'Coefficients d''émissions'!C15+$D$71*'Coefficients d''émissions'!C25</f>
        <v>691860.5055241395</v>
      </c>
      <c r="E75" s="69">
        <f>$D$66*'Coefficients d''émissions'!D14+$D$67*'Coefficients d''émissions'!D15+$D$71*'Coefficients d''émissions'!D25+$D$69*'Coefficients d''émissions'!D14+$D$70*'Coefficients d''émissions'!D15</f>
        <v>41.500336697739385</v>
      </c>
      <c r="F75" s="69">
        <f>$D$66*'Coefficients d''émissions'!E14+$D$67*'Coefficients d''émissions'!E15+$D$71*'Coefficients d''émissions'!E25+$D$69*'Coefficients d''émissions'!E14+$D$70*'Coefficients d''émissions'!E15</f>
        <v>7.4779745065744514</v>
      </c>
      <c r="G75" s="69">
        <f>D75+E75*PRP!$K$5+F75*PRP!$K$6</f>
        <v>695126.45034454216</v>
      </c>
      <c r="H75" s="134"/>
    </row>
    <row r="76" spans="1:9" ht="16" customHeight="1" x14ac:dyDescent="0.3">
      <c r="A76" s="67"/>
      <c r="B76" s="384"/>
      <c r="C76" s="433" t="s">
        <v>3</v>
      </c>
      <c r="D76" s="69">
        <f>$E$66*'Coefficients d''émissions'!C17+$E$67*'Coefficients d''émissions'!C18+$E$71*'Coefficients d''émissions'!C28</f>
        <v>633311.82128045056</v>
      </c>
      <c r="E76" s="69">
        <f>$E$66*'Coefficients d''émissions'!D17+$E$67*'Coefficients d''émissions'!D18+$E$71*'Coefficients d''émissions'!D28+$E$69*'Coefficients d''émissions'!D17+$E$70*'Coefficients d''émissions'!D18</f>
        <v>37.944651393413665</v>
      </c>
      <c r="F76" s="69">
        <f>$E$66*'Coefficients d''émissions'!E17+$E$67*'Coefficients d''émissions'!E18+$E$71*'Coefficients d''émissions'!E28+$E$69*'Coefficients d''émissions'!E17+$E$70*'Coefficients d''émissions'!E18</f>
        <v>7.0788865521992568</v>
      </c>
      <c r="G76" s="69">
        <f>D76+E76*PRP!$K$5+F76*PRP!$K$6</f>
        <v>636369.94575784134</v>
      </c>
      <c r="H76" s="134"/>
    </row>
    <row r="77" spans="1:9" ht="16" customHeight="1" x14ac:dyDescent="0.3">
      <c r="A77" s="67"/>
      <c r="B77" s="384"/>
      <c r="C77" s="433" t="s">
        <v>4</v>
      </c>
      <c r="D77" s="69">
        <f>$F$65*'Coefficients d''émissions'!C23</f>
        <v>5459.6402798160325</v>
      </c>
      <c r="E77" s="69">
        <f>$F$65*'Coefficients d''émissions'!D23+$F$68*'Coefficients d''émissions'!D23</f>
        <v>1.8230793526932478</v>
      </c>
      <c r="F77" s="69">
        <f>$F$65*'Coefficients d''émissions'!E23+$F$68*'Coefficients d''émissions'!E23</f>
        <v>9.7073056442107994E-2</v>
      </c>
      <c r="G77" s="69">
        <f>D77+E77*PRP!$K$5+F77*PRP!$K$6</f>
        <v>5534.1450344531113</v>
      </c>
      <c r="H77" s="134"/>
    </row>
    <row r="78" spans="1:9" ht="16" customHeight="1" x14ac:dyDescent="0.3">
      <c r="A78" s="67"/>
      <c r="B78" s="384"/>
      <c r="C78" s="685" t="s">
        <v>5</v>
      </c>
      <c r="D78" s="69">
        <f>$G$65*'Coefficients d''émissions'!C20+$G$71*'Coefficients d''émissions'!C31</f>
        <v>61060.270503368985</v>
      </c>
      <c r="E78" s="69">
        <f>$G$65*'Coefficients d''émissions'!D20+$G$71*'Coefficients d''émissions'!D31+$G$68*'Coefficients d''émissions'!D20</f>
        <v>2.3529515358973412</v>
      </c>
      <c r="F78" s="69">
        <f>$G$65*'Coefficients d''émissions'!E20+$G$71*'Coefficients d''émissions'!E31+$G$68*'Coefficients d''émissions'!E20</f>
        <v>3.840423971051115</v>
      </c>
      <c r="G78" s="69">
        <f>D78+E78*PRP!$K$5+F78*PRP!$K$6</f>
        <v>62263.540635139652</v>
      </c>
      <c r="H78" s="134"/>
    </row>
    <row r="79" spans="1:9" ht="16" customHeight="1" x14ac:dyDescent="0.3">
      <c r="A79" s="67"/>
      <c r="B79" s="384"/>
      <c r="C79" s="685" t="s">
        <v>6</v>
      </c>
      <c r="D79" s="69">
        <f>$H$65*'Coefficients d''émissions'!C20+'Transports - routier'!$H$71*'Coefficients d''émissions'!C31</f>
        <v>625521.69734237576</v>
      </c>
      <c r="E79" s="69">
        <f>$H$65*'Coefficients d''émissions'!D20+'Transports - routier'!$H$71*'Coefficients d''émissions'!D31+$H$68*'Coefficients d''émissions'!D20</f>
        <v>24.104417264539428</v>
      </c>
      <c r="F79" s="69">
        <f>$H$65*'Coefficients d''émissions'!E20+'Transports - routier'!$H$71*'Coefficients d''émissions'!E31+$H$68*'Coefficients d''émissions'!E20</f>
        <v>39.342579079365457</v>
      </c>
      <c r="G79" s="69">
        <f>D79+E79*PRP!$K$5+F79*PRP!$K$6</f>
        <v>637848.39633964014</v>
      </c>
      <c r="H79" s="134"/>
    </row>
    <row r="80" spans="1:9" ht="16" customHeight="1" x14ac:dyDescent="0.3">
      <c r="A80" s="67"/>
      <c r="B80" s="384"/>
      <c r="C80" s="434" t="s">
        <v>50</v>
      </c>
      <c r="D80" s="435">
        <f>SUM(D75:D79)</f>
        <v>2017213.9349301506</v>
      </c>
      <c r="E80" s="435">
        <f>SUM(E75:E79)</f>
        <v>107.72543624428306</v>
      </c>
      <c r="F80" s="435">
        <f>SUM(F75:F79)</f>
        <v>57.836937165632392</v>
      </c>
      <c r="G80" s="435">
        <f>SUM(G75:G79)</f>
        <v>2037142.4781116163</v>
      </c>
      <c r="H80" s="134"/>
    </row>
    <row r="81" spans="1:8" ht="13.5" customHeight="1" x14ac:dyDescent="0.3">
      <c r="A81" s="384"/>
      <c r="B81" s="384"/>
      <c r="C81" s="125"/>
      <c r="D81" s="134"/>
      <c r="E81" s="134"/>
      <c r="F81" s="134"/>
      <c r="G81" s="134"/>
      <c r="H81" s="134"/>
    </row>
    <row r="82" spans="1:8" ht="14.25" customHeight="1" x14ac:dyDescent="0.3">
      <c r="A82" s="384"/>
      <c r="B82" s="384"/>
      <c r="C82" s="125"/>
      <c r="D82" s="134"/>
      <c r="E82" s="134"/>
      <c r="F82" s="134"/>
      <c r="G82" s="134"/>
      <c r="H82" s="134"/>
    </row>
    <row r="83" spans="1:8" ht="14.25" customHeight="1" x14ac:dyDescent="0.3">
      <c r="A83" s="902" t="s">
        <v>151</v>
      </c>
      <c r="B83" s="902"/>
      <c r="C83" s="902"/>
      <c r="D83" s="902"/>
      <c r="E83" s="902"/>
      <c r="F83" s="902"/>
      <c r="G83" s="902"/>
      <c r="H83" s="902"/>
    </row>
    <row r="84" spans="1:8" s="393" customFormat="1" x14ac:dyDescent="0.3">
      <c r="A84" s="395" t="s">
        <v>1</v>
      </c>
      <c r="D84" s="396"/>
    </row>
    <row r="85" spans="1:8" s="393" customFormat="1" ht="15" x14ac:dyDescent="0.3">
      <c r="A85" s="413" t="s">
        <v>144</v>
      </c>
      <c r="B85" s="139"/>
      <c r="C85" s="139"/>
      <c r="D85" s="441" t="s">
        <v>7</v>
      </c>
      <c r="E85" s="439" t="s">
        <v>612</v>
      </c>
      <c r="F85" s="115"/>
      <c r="G85" s="115"/>
    </row>
    <row r="86" spans="1:8" s="393" customFormat="1" x14ac:dyDescent="0.3">
      <c r="B86" s="139"/>
      <c r="C86" s="139"/>
      <c r="D86" s="443" t="s">
        <v>2</v>
      </c>
      <c r="E86" s="120">
        <f>H139-E96</f>
        <v>634302.64178032475</v>
      </c>
      <c r="F86" s="117"/>
      <c r="G86" s="117"/>
    </row>
    <row r="87" spans="1:8" s="393" customFormat="1" x14ac:dyDescent="0.3">
      <c r="A87" s="395"/>
      <c r="B87" s="139"/>
      <c r="C87" s="139"/>
      <c r="D87" s="443" t="s">
        <v>3</v>
      </c>
      <c r="E87" s="120">
        <f t="shared" ref="E87:E90" si="1">H140-E97</f>
        <v>565325.31206287257</v>
      </c>
      <c r="F87" s="117"/>
      <c r="G87" s="117"/>
    </row>
    <row r="88" spans="1:8" s="393" customFormat="1" x14ac:dyDescent="0.3">
      <c r="A88" s="395"/>
      <c r="B88" s="139"/>
      <c r="C88" s="139"/>
      <c r="D88" s="443" t="s">
        <v>4</v>
      </c>
      <c r="E88" s="120">
        <f>H141-E98</f>
        <v>4302.2234685310686</v>
      </c>
      <c r="F88" s="117"/>
      <c r="G88" s="117"/>
    </row>
    <row r="89" spans="1:8" s="393" customFormat="1" x14ac:dyDescent="0.3">
      <c r="A89" s="395"/>
      <c r="B89" s="139"/>
      <c r="C89" s="139"/>
      <c r="D89" s="443" t="s">
        <v>5</v>
      </c>
      <c r="E89" s="120">
        <f t="shared" si="1"/>
        <v>64319.395592398636</v>
      </c>
      <c r="F89" s="117"/>
      <c r="G89" s="117"/>
    </row>
    <row r="90" spans="1:8" s="393" customFormat="1" x14ac:dyDescent="0.3">
      <c r="A90" s="395"/>
      <c r="B90" s="139"/>
      <c r="C90" s="139"/>
      <c r="D90" s="443" t="s">
        <v>9</v>
      </c>
      <c r="E90" s="120">
        <f t="shared" si="1"/>
        <v>12260.644169562518</v>
      </c>
      <c r="F90" s="117"/>
      <c r="G90" s="117"/>
    </row>
    <row r="91" spans="1:8" s="393" customFormat="1" x14ac:dyDescent="0.3">
      <c r="A91" s="395"/>
      <c r="B91" s="139"/>
      <c r="C91" s="139"/>
      <c r="D91" s="443" t="s">
        <v>6</v>
      </c>
      <c r="E91" s="120">
        <f>H144-E101</f>
        <v>626686.33939789503</v>
      </c>
      <c r="F91" s="117"/>
      <c r="G91" s="117"/>
    </row>
    <row r="92" spans="1:8" s="393" customFormat="1" x14ac:dyDescent="0.3">
      <c r="A92" s="139"/>
      <c r="B92" s="139"/>
      <c r="C92" s="139"/>
      <c r="D92" s="443" t="s">
        <v>254</v>
      </c>
      <c r="E92" s="120">
        <f>H145-E102</f>
        <v>295244.04286071559</v>
      </c>
      <c r="F92" s="117"/>
      <c r="G92" s="117"/>
    </row>
    <row r="93" spans="1:8" s="393" customFormat="1" x14ac:dyDescent="0.3">
      <c r="A93" s="395"/>
      <c r="B93" s="139"/>
      <c r="C93" s="139"/>
      <c r="D93" s="434" t="s">
        <v>50</v>
      </c>
      <c r="E93" s="435">
        <f>SUM(E86:E92)</f>
        <v>2202440.5993323005</v>
      </c>
      <c r="F93" s="415"/>
      <c r="G93" s="415"/>
    </row>
    <row r="94" spans="1:8" s="393" customFormat="1" x14ac:dyDescent="0.3">
      <c r="A94" s="395"/>
      <c r="B94" s="139"/>
      <c r="C94" s="139"/>
      <c r="D94" s="416"/>
      <c r="E94" s="415"/>
      <c r="F94" s="414"/>
      <c r="G94" s="415"/>
      <c r="H94" s="415"/>
    </row>
    <row r="95" spans="1:8" s="393" customFormat="1" ht="15" x14ac:dyDescent="0.3">
      <c r="A95" s="395" t="s">
        <v>384</v>
      </c>
      <c r="B95" s="139"/>
      <c r="C95" s="139"/>
      <c r="D95" s="441" t="s">
        <v>7</v>
      </c>
      <c r="E95" s="439" t="s">
        <v>612</v>
      </c>
      <c r="F95" s="115"/>
      <c r="G95" s="115"/>
    </row>
    <row r="96" spans="1:8" s="393" customFormat="1" x14ac:dyDescent="0.3">
      <c r="A96" s="139" t="s">
        <v>385</v>
      </c>
      <c r="B96" s="139"/>
      <c r="C96" s="139"/>
      <c r="D96" s="443" t="s">
        <v>2</v>
      </c>
      <c r="E96" s="120">
        <v>3345.18</v>
      </c>
      <c r="F96" s="117"/>
      <c r="G96" s="117"/>
    </row>
    <row r="97" spans="1:18" s="393" customFormat="1" x14ac:dyDescent="0.3">
      <c r="A97" s="395"/>
      <c r="B97" s="139"/>
      <c r="C97" s="139"/>
      <c r="D97" s="443" t="s">
        <v>3</v>
      </c>
      <c r="E97" s="120">
        <v>2425.02</v>
      </c>
      <c r="F97" s="117"/>
      <c r="G97" s="117"/>
    </row>
    <row r="98" spans="1:18" s="393" customFormat="1" x14ac:dyDescent="0.3">
      <c r="A98" s="395"/>
      <c r="B98" s="139"/>
      <c r="C98" s="139"/>
      <c r="D98" s="443" t="s">
        <v>4</v>
      </c>
      <c r="E98" s="120">
        <v>17.86</v>
      </c>
      <c r="F98" s="117"/>
      <c r="G98" s="117"/>
    </row>
    <row r="99" spans="1:18" s="393" customFormat="1" x14ac:dyDescent="0.3">
      <c r="A99" s="395"/>
      <c r="B99" s="139"/>
      <c r="C99" s="139"/>
      <c r="D99" s="443" t="s">
        <v>5</v>
      </c>
      <c r="E99" s="120">
        <v>0</v>
      </c>
      <c r="F99" s="117"/>
      <c r="G99" s="117"/>
    </row>
    <row r="100" spans="1:18" s="393" customFormat="1" x14ac:dyDescent="0.3">
      <c r="A100" s="395"/>
      <c r="B100" s="139"/>
      <c r="C100" s="139"/>
      <c r="D100" s="443" t="s">
        <v>9</v>
      </c>
      <c r="E100" s="120">
        <v>0</v>
      </c>
      <c r="F100" s="117"/>
      <c r="G100" s="117"/>
    </row>
    <row r="101" spans="1:18" s="393" customFormat="1" x14ac:dyDescent="0.3">
      <c r="A101" s="395"/>
      <c r="B101" s="139"/>
      <c r="C101" s="139"/>
      <c r="D101" s="443" t="s">
        <v>6</v>
      </c>
      <c r="E101" s="120">
        <v>7186.37</v>
      </c>
      <c r="F101" s="117"/>
      <c r="G101" s="117"/>
    </row>
    <row r="102" spans="1:18" s="393" customFormat="1" x14ac:dyDescent="0.3">
      <c r="A102" s="395"/>
      <c r="B102" s="139"/>
      <c r="C102" s="139"/>
      <c r="D102" s="443" t="s">
        <v>254</v>
      </c>
      <c r="E102" s="120">
        <v>5380.17</v>
      </c>
      <c r="F102" s="117"/>
      <c r="G102" s="117"/>
    </row>
    <row r="103" spans="1:18" s="393" customFormat="1" x14ac:dyDescent="0.3">
      <c r="A103" s="395"/>
      <c r="B103" s="139"/>
      <c r="C103" s="139"/>
      <c r="D103" s="434" t="s">
        <v>50</v>
      </c>
      <c r="E103" s="435">
        <f>SUM(E96:E102)</f>
        <v>18354.599999999999</v>
      </c>
      <c r="F103" s="415"/>
      <c r="G103" s="415"/>
    </row>
    <row r="104" spans="1:18" s="393" customFormat="1" x14ac:dyDescent="0.3">
      <c r="A104" s="395"/>
      <c r="B104" s="139"/>
      <c r="C104" s="139"/>
      <c r="D104" s="417"/>
      <c r="E104" s="139"/>
      <c r="F104" s="139"/>
      <c r="G104" s="139"/>
      <c r="H104" s="139"/>
      <c r="I104" s="139"/>
    </row>
    <row r="105" spans="1:18" x14ac:dyDescent="0.3">
      <c r="A105" s="67" t="s">
        <v>126</v>
      </c>
      <c r="B105" s="67"/>
      <c r="C105" s="67"/>
      <c r="D105" s="125"/>
      <c r="E105" s="67"/>
      <c r="F105" s="67"/>
      <c r="G105" s="67"/>
      <c r="H105" s="67"/>
      <c r="I105" s="67"/>
    </row>
    <row r="106" spans="1:18" x14ac:dyDescent="0.3">
      <c r="A106" s="67" t="s">
        <v>48</v>
      </c>
      <c r="B106" s="67"/>
      <c r="C106" s="67"/>
      <c r="D106" s="125"/>
      <c r="E106" s="67"/>
      <c r="F106" s="67"/>
      <c r="G106" s="67"/>
      <c r="H106" s="67"/>
      <c r="I106" s="67"/>
    </row>
    <row r="107" spans="1:18" ht="30" customHeight="1" x14ac:dyDescent="0.3">
      <c r="A107" s="67"/>
      <c r="B107" s="67"/>
      <c r="C107" s="67"/>
      <c r="D107" s="445" t="s">
        <v>7</v>
      </c>
      <c r="E107" s="432" t="s">
        <v>626</v>
      </c>
      <c r="F107" s="432" t="s">
        <v>627</v>
      </c>
      <c r="G107" s="432" t="s">
        <v>628</v>
      </c>
      <c r="H107" s="439" t="s">
        <v>612</v>
      </c>
      <c r="I107" s="67"/>
      <c r="J107" s="447" t="s">
        <v>487</v>
      </c>
      <c r="K107" s="447" t="s">
        <v>389</v>
      </c>
    </row>
    <row r="108" spans="1:18" x14ac:dyDescent="0.3">
      <c r="A108" s="67" t="s">
        <v>153</v>
      </c>
      <c r="B108" s="67"/>
      <c r="C108" s="67"/>
      <c r="D108" s="685" t="s">
        <v>2</v>
      </c>
      <c r="E108" s="69">
        <f>('RIN-2017'!B21+'RIN-2017'!B25+'RIN-2017'!B28)*1000</f>
        <v>8892110</v>
      </c>
      <c r="F108" s="69">
        <f>('RIN-2017'!C21+'RIN-2017'!C25+'RIN-2017'!C28)*1000</f>
        <v>700</v>
      </c>
      <c r="G108" s="69">
        <f>('RIN-2017'!D21+'RIN-2017'!D25+'RIN-2017'!D28)*1000</f>
        <v>340</v>
      </c>
      <c r="H108" s="69">
        <f>('RIN-2017'!I21+'RIN-2017'!I25+'RIN-2017'!I28)*1000</f>
        <v>9010930</v>
      </c>
      <c r="I108" s="67"/>
      <c r="J108" s="448" t="s">
        <v>5</v>
      </c>
      <c r="K108" s="449">
        <f>(0.4+0.1)/(2+7.4+0.2+0.4+0.1)</f>
        <v>4.9504950495049507E-2</v>
      </c>
      <c r="L108" s="418"/>
    </row>
    <row r="109" spans="1:18" x14ac:dyDescent="0.3">
      <c r="A109" s="437" t="s">
        <v>554</v>
      </c>
      <c r="B109" s="67"/>
      <c r="C109" s="67"/>
      <c r="D109" s="685" t="s">
        <v>3</v>
      </c>
      <c r="E109" s="69">
        <f>('RIN-2017'!B22+'RIN-2017'!B26)*1000</f>
        <v>8153000</v>
      </c>
      <c r="F109" s="69">
        <f>('RIN-2017'!C22+'RIN-2017'!C26)*1000</f>
        <v>710</v>
      </c>
      <c r="G109" s="69">
        <f>('RIN-2017'!D22+'RIN-2017'!D26)*1000</f>
        <v>310</v>
      </c>
      <c r="H109" s="69">
        <f>('RIN-2017'!I22+'RIN-2017'!I26)*1000</f>
        <v>8263129.9999999991</v>
      </c>
      <c r="I109" s="67"/>
      <c r="J109" s="448" t="s">
        <v>9</v>
      </c>
      <c r="K109" s="449">
        <f>(0.2)/(2+7.4+0.2+0.4+0.1)</f>
        <v>1.9801980198019802E-2</v>
      </c>
      <c r="L109" s="418"/>
    </row>
    <row r="110" spans="1:18" x14ac:dyDescent="0.3">
      <c r="A110" s="67" t="s">
        <v>629</v>
      </c>
      <c r="B110" s="67"/>
      <c r="C110" s="67"/>
      <c r="D110" s="685" t="s">
        <v>4</v>
      </c>
      <c r="E110" s="69">
        <f>'RIN-2017'!B24*1000</f>
        <v>70000</v>
      </c>
      <c r="F110" s="69">
        <f>'RIN-2017'!C24*1000</f>
        <v>30</v>
      </c>
      <c r="G110" s="69">
        <f>'RIN-2017'!D24*1000</f>
        <v>0</v>
      </c>
      <c r="H110" s="69">
        <f>'RIN-2017'!I24*1000</f>
        <v>70750</v>
      </c>
      <c r="I110" s="67"/>
      <c r="J110" s="448" t="s">
        <v>6</v>
      </c>
      <c r="K110" s="449">
        <f>(2+7.4)/(2+7.4+0.2+0.4+0.1)</f>
        <v>0.93069306930693074</v>
      </c>
      <c r="L110" s="418"/>
    </row>
    <row r="111" spans="1:18" ht="15.5" x14ac:dyDescent="0.3">
      <c r="B111" s="67"/>
      <c r="C111" s="67"/>
      <c r="D111" s="446" t="s">
        <v>488</v>
      </c>
      <c r="E111" s="419">
        <f>('RIN-2017'!B23+'RIN-2017'!B27)*1000*K108</f>
        <v>474257.42574257427</v>
      </c>
      <c r="F111" s="419">
        <f>('RIN-2017'!C23+'RIN-2017'!C27)*1000*K108</f>
        <v>17.821782178217823</v>
      </c>
      <c r="G111" s="419">
        <f>('RIN-2017'!D23+'RIN-2017'!D27)*1000*K108</f>
        <v>29.207920792079211</v>
      </c>
      <c r="H111" s="419">
        <f>('RIN-2017'!I23+'RIN-2017'!I27)*1000*(0.4+0.1)/(2+7.4+0.2+0.4+0.1)</f>
        <v>483406.9306930693</v>
      </c>
      <c r="I111" s="67"/>
      <c r="J111" s="887" t="s">
        <v>390</v>
      </c>
      <c r="K111" s="887"/>
      <c r="L111" s="887"/>
      <c r="M111" s="887"/>
      <c r="N111" s="887"/>
      <c r="O111" s="887"/>
      <c r="P111" s="887"/>
      <c r="Q111" s="887"/>
      <c r="R111" s="887"/>
    </row>
    <row r="112" spans="1:18" ht="14.25" customHeight="1" x14ac:dyDescent="0.3">
      <c r="A112" s="67"/>
      <c r="B112" s="67"/>
      <c r="C112" s="67"/>
      <c r="D112" s="446" t="s">
        <v>489</v>
      </c>
      <c r="E112" s="419">
        <f>('RIN-2017'!B23+'RIN-2017'!B27)*1000*K109</f>
        <v>189702.97029702971</v>
      </c>
      <c r="F112" s="419">
        <f>('RIN-2017'!C23+'RIN-2017'!C27)*1000*K109</f>
        <v>7.1287128712871288</v>
      </c>
      <c r="G112" s="419">
        <f>('RIN-2017'!D23+'RIN-2017'!D27)*1000*K109</f>
        <v>11.683168316831683</v>
      </c>
      <c r="H112" s="419">
        <f>('RIN-2017'!I23+'RIN-2017'!I27)*1000*(0.2)/(2+7.4+0.2+0.4+0.1)</f>
        <v>193362.77227722772</v>
      </c>
      <c r="I112" s="67"/>
      <c r="J112" s="887"/>
      <c r="K112" s="887"/>
      <c r="L112" s="887"/>
      <c r="M112" s="887"/>
      <c r="N112" s="887"/>
      <c r="O112" s="887"/>
      <c r="P112" s="887"/>
      <c r="Q112" s="887"/>
      <c r="R112" s="887"/>
    </row>
    <row r="113" spans="1:18" ht="15.5" x14ac:dyDescent="0.3">
      <c r="B113" s="681"/>
      <c r="C113" s="681"/>
      <c r="D113" s="446" t="s">
        <v>490</v>
      </c>
      <c r="E113" s="419">
        <f>('RIN-2017'!B23+'RIN-2017'!B27)*1000*K110</f>
        <v>8916039.6039603967</v>
      </c>
      <c r="F113" s="419">
        <f>('RIN-2017'!C23+'RIN-2017'!C27)*1000*K110</f>
        <v>335.04950495049508</v>
      </c>
      <c r="G113" s="419">
        <f>('RIN-2017'!D23+'RIN-2017'!D27)*1000*K110</f>
        <v>549.10891089108918</v>
      </c>
      <c r="H113" s="419">
        <f>('RIN-2017'!I23+'RIN-2017'!I27)*1000*(2+7.4)/(2+7.4+0.2+0.4+0.1)</f>
        <v>9088050.2970297039</v>
      </c>
      <c r="I113" s="67"/>
      <c r="J113" s="887"/>
      <c r="K113" s="887"/>
      <c r="L113" s="887"/>
      <c r="M113" s="887"/>
      <c r="N113" s="887"/>
      <c r="O113" s="887"/>
      <c r="P113" s="887"/>
      <c r="Q113" s="887"/>
      <c r="R113" s="887"/>
    </row>
    <row r="114" spans="1:18" ht="12.75" customHeight="1" x14ac:dyDescent="0.3">
      <c r="B114" s="681"/>
      <c r="C114" s="681"/>
      <c r="D114" s="685" t="s">
        <v>254</v>
      </c>
      <c r="E114" s="69">
        <f>('RIN-2017'!B32+'RIN-2017'!B33)*1000</f>
        <v>4426000</v>
      </c>
      <c r="F114" s="69">
        <f>('RIN-2017'!C32+'RIN-2017'!C33)*1000</f>
        <v>3760</v>
      </c>
      <c r="G114" s="69">
        <f>('RIN-2017'!D32+'RIN-2017'!D33)*1000</f>
        <v>190</v>
      </c>
      <c r="H114" s="69">
        <f>('RIN-2017'!I32+'RIN-2017'!I33)*1000</f>
        <v>4576620</v>
      </c>
      <c r="I114" s="67"/>
      <c r="J114" s="67" t="s">
        <v>406</v>
      </c>
      <c r="K114" s="67"/>
      <c r="L114" s="67"/>
    </row>
    <row r="115" spans="1:18" x14ac:dyDescent="0.3">
      <c r="B115" s="681"/>
      <c r="C115" s="681"/>
      <c r="D115" s="434" t="s">
        <v>50</v>
      </c>
      <c r="E115" s="435">
        <f>SUM(E108:E114)</f>
        <v>31121110</v>
      </c>
      <c r="F115" s="435">
        <f>SUM(F108:F114)</f>
        <v>5560</v>
      </c>
      <c r="G115" s="435">
        <f>SUM(G108:G114)</f>
        <v>1430</v>
      </c>
      <c r="H115" s="435">
        <f>SUM(H108:H114)</f>
        <v>31686250</v>
      </c>
      <c r="I115" s="67"/>
      <c r="J115" s="398" t="s">
        <v>391</v>
      </c>
      <c r="K115" s="67"/>
      <c r="L115" s="67"/>
    </row>
    <row r="116" spans="1:18" x14ac:dyDescent="0.3">
      <c r="A116" s="398"/>
      <c r="B116" s="67"/>
      <c r="C116" s="67"/>
      <c r="D116" s="397"/>
      <c r="E116" s="406"/>
      <c r="F116" s="406"/>
      <c r="G116" s="406"/>
      <c r="H116" s="400"/>
      <c r="I116" s="67"/>
    </row>
    <row r="117" spans="1:18" ht="60" customHeight="1" x14ac:dyDescent="0.3">
      <c r="A117" s="881" t="s">
        <v>630</v>
      </c>
      <c r="B117" s="881"/>
      <c r="C117" s="882"/>
      <c r="D117" s="431" t="s">
        <v>7</v>
      </c>
      <c r="E117" s="683" t="s">
        <v>8</v>
      </c>
      <c r="F117" s="406"/>
      <c r="H117" s="154"/>
      <c r="I117" s="67"/>
    </row>
    <row r="118" spans="1:18" x14ac:dyDescent="0.3">
      <c r="A118" s="420" t="s">
        <v>631</v>
      </c>
      <c r="B118" s="67"/>
      <c r="C118" s="67"/>
      <c r="D118" s="433" t="s">
        <v>2</v>
      </c>
      <c r="E118" s="69">
        <v>2894562</v>
      </c>
      <c r="F118" s="406"/>
      <c r="G118" s="406"/>
      <c r="H118" s="154"/>
      <c r="I118" s="67"/>
    </row>
    <row r="119" spans="1:18" x14ac:dyDescent="0.3">
      <c r="A119" s="67"/>
      <c r="B119" s="67"/>
      <c r="C119" s="67"/>
      <c r="D119" s="433" t="s">
        <v>3</v>
      </c>
      <c r="E119" s="69">
        <v>1863266</v>
      </c>
      <c r="F119" s="406"/>
      <c r="G119" s="406"/>
      <c r="H119" s="154"/>
      <c r="I119" s="67"/>
    </row>
    <row r="120" spans="1:18" x14ac:dyDescent="0.3">
      <c r="A120" s="67"/>
      <c r="B120" s="67"/>
      <c r="C120" s="67"/>
      <c r="D120" s="433" t="s">
        <v>4</v>
      </c>
      <c r="E120" s="69">
        <f>183222+27197</f>
        <v>210419</v>
      </c>
      <c r="F120" s="406"/>
      <c r="G120" s="406"/>
      <c r="H120" s="154"/>
      <c r="I120" s="67"/>
    </row>
    <row r="121" spans="1:18" x14ac:dyDescent="0.3">
      <c r="A121" s="67"/>
      <c r="B121" s="67"/>
      <c r="C121" s="67"/>
      <c r="D121" s="685" t="s">
        <v>5</v>
      </c>
      <c r="E121" s="69">
        <v>8851</v>
      </c>
      <c r="F121" s="406"/>
      <c r="G121" s="406"/>
      <c r="H121" s="154"/>
      <c r="I121" s="67"/>
    </row>
    <row r="122" spans="1:18" x14ac:dyDescent="0.3">
      <c r="A122" s="67"/>
      <c r="B122" s="67"/>
      <c r="C122" s="67"/>
      <c r="D122" s="685" t="s">
        <v>9</v>
      </c>
      <c r="E122" s="69">
        <v>10557</v>
      </c>
      <c r="F122" s="406"/>
      <c r="G122" s="406"/>
      <c r="H122" s="154"/>
      <c r="I122" s="67"/>
      <c r="J122" s="681" t="s">
        <v>633</v>
      </c>
      <c r="K122" s="440">
        <v>737857</v>
      </c>
    </row>
    <row r="123" spans="1:18" x14ac:dyDescent="0.3">
      <c r="B123" s="67"/>
      <c r="C123" s="67"/>
      <c r="D123" s="685" t="s">
        <v>6</v>
      </c>
      <c r="E123" s="69">
        <f>149294</f>
        <v>149294</v>
      </c>
      <c r="F123" s="406"/>
      <c r="G123" s="406"/>
      <c r="H123" s="400"/>
      <c r="I123" s="67"/>
      <c r="J123" s="774" t="s">
        <v>632</v>
      </c>
    </row>
    <row r="124" spans="1:18" x14ac:dyDescent="0.3">
      <c r="A124" s="67"/>
      <c r="B124" s="67"/>
      <c r="C124" s="67"/>
      <c r="D124" s="685" t="s">
        <v>254</v>
      </c>
      <c r="E124" s="69">
        <f>4621+89+186+4722+197575+394753+242465+8364+1934+2553+347+63+224+50</f>
        <v>857946</v>
      </c>
      <c r="F124" s="406"/>
      <c r="G124" s="406"/>
      <c r="H124" s="400"/>
      <c r="I124" s="67"/>
    </row>
    <row r="125" spans="1:18" x14ac:dyDescent="0.3">
      <c r="A125" s="67"/>
      <c r="B125" s="67"/>
      <c r="C125" s="67"/>
      <c r="D125" s="434" t="s">
        <v>50</v>
      </c>
      <c r="E125" s="438">
        <f>SUM(E118:E124)</f>
        <v>5994895</v>
      </c>
      <c r="F125" s="406"/>
      <c r="G125" s="400"/>
      <c r="H125" s="400"/>
      <c r="I125" s="67"/>
    </row>
    <row r="126" spans="1:18" x14ac:dyDescent="0.3">
      <c r="A126" s="67"/>
      <c r="B126" s="67"/>
      <c r="C126" s="67"/>
      <c r="D126" s="407"/>
      <c r="E126" s="406"/>
      <c r="F126" s="406"/>
      <c r="G126" s="406"/>
      <c r="H126" s="400"/>
      <c r="I126" s="67"/>
    </row>
    <row r="127" spans="1:18" ht="45" customHeight="1" x14ac:dyDescent="0.3">
      <c r="A127" s="883" t="s">
        <v>634</v>
      </c>
      <c r="B127" s="883"/>
      <c r="C127" s="884"/>
      <c r="D127" s="431" t="s">
        <v>7</v>
      </c>
      <c r="E127" s="683" t="s">
        <v>8</v>
      </c>
      <c r="F127" s="406"/>
      <c r="G127" s="406"/>
      <c r="H127" s="400"/>
      <c r="I127" s="67"/>
    </row>
    <row r="128" spans="1:18" ht="17.149999999999999" customHeight="1" x14ac:dyDescent="0.3">
      <c r="D128" s="433" t="s">
        <v>2</v>
      </c>
      <c r="E128" s="69">
        <f>263155*(INTRO!B20/K122)</f>
        <v>204830.26217139635</v>
      </c>
      <c r="F128" s="406"/>
      <c r="G128" s="406"/>
      <c r="H128" s="400"/>
      <c r="I128" s="67"/>
    </row>
    <row r="129" spans="1:11" x14ac:dyDescent="0.3">
      <c r="A129" s="67"/>
      <c r="B129" s="67"/>
      <c r="C129" s="67"/>
      <c r="D129" s="433" t="s">
        <v>3</v>
      </c>
      <c r="E129" s="69">
        <f>164477*(INTRO!B20/K122)</f>
        <v>128022.90297035876</v>
      </c>
      <c r="F129" s="406"/>
      <c r="G129" s="406"/>
      <c r="H129" s="400"/>
      <c r="I129" s="67"/>
    </row>
    <row r="130" spans="1:11" x14ac:dyDescent="0.3">
      <c r="A130" s="67"/>
      <c r="B130" s="67"/>
      <c r="C130" s="67"/>
      <c r="D130" s="433" t="s">
        <v>4</v>
      </c>
      <c r="E130" s="69">
        <f>16507*(INTRO!B20/K122)</f>
        <v>12848.447256040126</v>
      </c>
      <c r="F130" s="406"/>
      <c r="G130" s="406"/>
      <c r="H130" s="400"/>
      <c r="I130" s="67"/>
    </row>
    <row r="131" spans="1:11" x14ac:dyDescent="0.3">
      <c r="A131" s="67"/>
      <c r="B131" s="67"/>
      <c r="C131" s="67"/>
      <c r="D131" s="685" t="s">
        <v>5</v>
      </c>
      <c r="E131" s="69">
        <f>1513*(INTRO!B20/K122)</f>
        <v>1177.6640636329262</v>
      </c>
      <c r="F131" s="406"/>
      <c r="G131" s="400"/>
      <c r="H131" s="400"/>
      <c r="I131" s="406"/>
      <c r="J131" s="143"/>
      <c r="K131" s="143"/>
    </row>
    <row r="132" spans="1:11" x14ac:dyDescent="0.3">
      <c r="A132" s="67"/>
      <c r="B132" s="67"/>
      <c r="C132" s="67"/>
      <c r="D132" s="685" t="s">
        <v>9</v>
      </c>
      <c r="E132" s="69">
        <f>860*(INTRO!B20/K122)</f>
        <v>669.39266009538437</v>
      </c>
      <c r="F132" s="406"/>
      <c r="G132" s="406"/>
      <c r="H132" s="400"/>
      <c r="I132" s="406"/>
      <c r="J132" s="143"/>
      <c r="K132" s="143"/>
    </row>
    <row r="133" spans="1:11" x14ac:dyDescent="0.3">
      <c r="A133" s="67"/>
      <c r="B133" s="67"/>
      <c r="C133" s="67"/>
      <c r="D133" s="685" t="s">
        <v>6</v>
      </c>
      <c r="E133" s="69">
        <f>13378*(INTRO!B20/K122)</f>
        <v>10412.947682274478</v>
      </c>
      <c r="F133" s="406"/>
      <c r="G133" s="406"/>
      <c r="H133" s="400"/>
      <c r="I133" s="406"/>
      <c r="J133" s="143"/>
      <c r="K133" s="143"/>
    </row>
    <row r="134" spans="1:11" x14ac:dyDescent="0.3">
      <c r="A134" s="67"/>
      <c r="B134" s="67"/>
      <c r="C134" s="67"/>
      <c r="D134" s="685" t="s">
        <v>254</v>
      </c>
      <c r="E134" s="69">
        <f>(437+10+17+271+20555+34303+16214+596)*(INTRO!B20/K122)</f>
        <v>56355.856708007108</v>
      </c>
      <c r="F134" s="406"/>
      <c r="G134" s="406"/>
      <c r="H134" s="400"/>
      <c r="I134" s="406"/>
      <c r="J134" s="143"/>
      <c r="K134" s="143"/>
    </row>
    <row r="135" spans="1:11" x14ac:dyDescent="0.3">
      <c r="A135" s="67"/>
      <c r="B135" s="67"/>
      <c r="C135" s="67"/>
      <c r="D135" s="434" t="s">
        <v>50</v>
      </c>
      <c r="E135" s="435">
        <f>SUM(E128:E134)</f>
        <v>414317.47351180518</v>
      </c>
      <c r="F135" s="406"/>
      <c r="G135" s="406"/>
      <c r="H135" s="400"/>
      <c r="I135" s="406"/>
      <c r="J135" s="143"/>
      <c r="K135" s="143"/>
    </row>
    <row r="136" spans="1:11" x14ac:dyDescent="0.3">
      <c r="A136" s="67"/>
      <c r="B136" s="67"/>
      <c r="C136" s="67"/>
      <c r="D136" s="407"/>
      <c r="E136" s="406"/>
      <c r="F136" s="406"/>
      <c r="G136" s="406"/>
      <c r="H136" s="400"/>
      <c r="I136" s="406"/>
      <c r="J136" s="143"/>
      <c r="K136" s="143"/>
    </row>
    <row r="137" spans="1:11" x14ac:dyDescent="0.3">
      <c r="A137" s="398"/>
      <c r="B137" s="67"/>
      <c r="C137" s="67"/>
      <c r="D137" s="407"/>
      <c r="E137" s="406"/>
      <c r="F137" s="406"/>
      <c r="G137" s="406"/>
      <c r="H137" s="406"/>
      <c r="I137" s="67"/>
      <c r="J137" s="143"/>
      <c r="K137" s="143"/>
    </row>
    <row r="138" spans="1:11" ht="15" x14ac:dyDescent="0.3">
      <c r="A138" s="67" t="s">
        <v>0</v>
      </c>
      <c r="B138" s="67"/>
      <c r="C138" s="67"/>
      <c r="D138" s="431" t="s">
        <v>7</v>
      </c>
      <c r="E138" s="432" t="s">
        <v>626</v>
      </c>
      <c r="F138" s="432" t="s">
        <v>627</v>
      </c>
      <c r="G138" s="432" t="s">
        <v>628</v>
      </c>
      <c r="H138" s="439" t="s">
        <v>612</v>
      </c>
      <c r="I138" s="67"/>
      <c r="J138" s="143"/>
      <c r="K138" s="143"/>
    </row>
    <row r="139" spans="1:11" x14ac:dyDescent="0.3">
      <c r="A139" s="67"/>
      <c r="B139" s="67"/>
      <c r="C139" s="67"/>
      <c r="D139" s="433" t="s">
        <v>2</v>
      </c>
      <c r="E139" s="69">
        <f>$E$128*E108/$E$118</f>
        <v>629239.66477722547</v>
      </c>
      <c r="F139" s="421">
        <f>$E$128*F108/$E$118</f>
        <v>49.534673473906395</v>
      </c>
      <c r="G139" s="421">
        <f>$E$128*G108/$E$118</f>
        <v>24.059698544468819</v>
      </c>
      <c r="H139" s="69">
        <f>$E$128*H108/$E$118</f>
        <v>637647.8217803248</v>
      </c>
      <c r="I139" s="422"/>
      <c r="J139" s="143"/>
      <c r="K139" s="143"/>
    </row>
    <row r="140" spans="1:11" x14ac:dyDescent="0.3">
      <c r="A140" s="67"/>
      <c r="B140" s="67"/>
      <c r="C140" s="67"/>
      <c r="D140" s="433" t="s">
        <v>3</v>
      </c>
      <c r="E140" s="69">
        <f>$E$129*E109/$E$119</f>
        <v>560183.42411514779</v>
      </c>
      <c r="F140" s="421">
        <f>$E$129*F109/$E$119</f>
        <v>48.783298310039854</v>
      </c>
      <c r="G140" s="421">
        <f>$E$129*G109/$E$119</f>
        <v>21.299749966355428</v>
      </c>
      <c r="H140" s="69">
        <f>$E$129*H109/$E$119</f>
        <v>567750.33206287259</v>
      </c>
      <c r="I140" s="67"/>
      <c r="J140" s="143"/>
      <c r="K140" s="143"/>
    </row>
    <row r="141" spans="1:11" x14ac:dyDescent="0.3">
      <c r="A141" s="67"/>
      <c r="B141" s="67"/>
      <c r="C141" s="67"/>
      <c r="D141" s="433" t="s">
        <v>4</v>
      </c>
      <c r="E141" s="69">
        <f>$E$130*E110/$E$120</f>
        <v>4274.2875307021177</v>
      </c>
      <c r="F141" s="421">
        <f>$E$130*F110/$E$120</f>
        <v>1.8318375131580504</v>
      </c>
      <c r="G141" s="69">
        <f>$E$130*G110/$E$120</f>
        <v>0</v>
      </c>
      <c r="H141" s="69">
        <f>$E$130*H110/$E$120</f>
        <v>4320.0834685310683</v>
      </c>
      <c r="I141" s="67"/>
      <c r="J141" s="143"/>
      <c r="K141" s="143"/>
    </row>
    <row r="142" spans="1:11" x14ac:dyDescent="0.3">
      <c r="A142" s="67"/>
      <c r="B142" s="67"/>
      <c r="C142" s="67"/>
      <c r="D142" s="685" t="s">
        <v>5</v>
      </c>
      <c r="E142" s="69">
        <f>$E$131*E111/$E$121</f>
        <v>63102.014146208428</v>
      </c>
      <c r="F142" s="423">
        <f>$E$131*F111/$E$121</f>
        <v>2.3712656672896695</v>
      </c>
      <c r="G142" s="423">
        <f>$E$131*G111/$E$121</f>
        <v>3.8862409547247361</v>
      </c>
      <c r="H142" s="69">
        <f>$E$131*H111/$E$121</f>
        <v>64319.395592398636</v>
      </c>
      <c r="I142" s="67"/>
      <c r="J142" s="143"/>
      <c r="K142" s="143"/>
    </row>
    <row r="143" spans="1:11" x14ac:dyDescent="0.3">
      <c r="A143" s="67"/>
      <c r="B143" s="67"/>
      <c r="C143" s="67"/>
      <c r="D143" s="685" t="s">
        <v>9</v>
      </c>
      <c r="E143" s="69">
        <f>$E$132*E112/$E$122</f>
        <v>12028.585385537976</v>
      </c>
      <c r="F143" s="423">
        <f>$E$132*F112/$E$122</f>
        <v>0.45201364705570679</v>
      </c>
      <c r="G143" s="423">
        <f>$E$132*G112/$E$122</f>
        <v>0.74080014378574166</v>
      </c>
      <c r="H143" s="69">
        <f>$E$132*H112/$E$122</f>
        <v>12260.644169562518</v>
      </c>
      <c r="I143" s="67"/>
      <c r="J143" s="143"/>
      <c r="K143" s="143"/>
    </row>
    <row r="144" spans="1:11" x14ac:dyDescent="0.3">
      <c r="A144" s="67"/>
      <c r="B144" s="67"/>
      <c r="C144" s="67"/>
      <c r="D144" s="685" t="s">
        <v>6</v>
      </c>
      <c r="E144" s="69">
        <f>$E$133*E113/$E$123</f>
        <v>621875.31936398568</v>
      </c>
      <c r="F144" s="423">
        <f>$E$133*F113/$E$123</f>
        <v>23.369009913469188</v>
      </c>
      <c r="G144" s="423">
        <f>$E$133*G113/$E$123</f>
        <v>38.299210691518944</v>
      </c>
      <c r="H144" s="69">
        <f>$E$133*H113/$E$123</f>
        <v>633872.70939789503</v>
      </c>
      <c r="I144" s="67"/>
      <c r="J144" s="143"/>
      <c r="K144" s="143"/>
    </row>
    <row r="145" spans="1:11" x14ac:dyDescent="0.3">
      <c r="A145" s="67"/>
      <c r="B145" s="67"/>
      <c r="C145" s="67"/>
      <c r="D145" s="685" t="s">
        <v>254</v>
      </c>
      <c r="E145" s="69">
        <f>$E$134*E114/$E$124</f>
        <v>290730.44432824379</v>
      </c>
      <c r="F145" s="421">
        <f>$E$134*F114/$E$124</f>
        <v>246.98293508228574</v>
      </c>
      <c r="G145" s="423">
        <f>$E$134*G114/$E$124</f>
        <v>12.480520655753802</v>
      </c>
      <c r="H145" s="69">
        <f>$E$134*H114/$E$124</f>
        <v>300624.21286071558</v>
      </c>
      <c r="I145" s="67"/>
      <c r="J145" s="143"/>
      <c r="K145" s="143"/>
    </row>
    <row r="146" spans="1:11" ht="22" customHeight="1" x14ac:dyDescent="0.3">
      <c r="A146" s="67"/>
      <c r="B146" s="67"/>
      <c r="C146" s="67"/>
      <c r="D146" s="434" t="s">
        <v>50</v>
      </c>
      <c r="E146" s="435">
        <f>SUM(E139:E145)</f>
        <v>2181433.7396470513</v>
      </c>
      <c r="F146" s="435">
        <f>SUM(F139:F145)</f>
        <v>373.3250336072046</v>
      </c>
      <c r="G146" s="435">
        <f>SUM(G139:G145)</f>
        <v>100.76622095660748</v>
      </c>
      <c r="H146" s="435">
        <f>SUM(H139:H145)</f>
        <v>2220795.1993323006</v>
      </c>
      <c r="I146" s="67"/>
      <c r="J146" s="143"/>
      <c r="K146" s="143"/>
    </row>
    <row r="147" spans="1:11" ht="19" customHeight="1" x14ac:dyDescent="0.3">
      <c r="B147" s="681"/>
      <c r="C147" s="681"/>
      <c r="D147" s="125"/>
      <c r="E147" s="67"/>
      <c r="F147" s="67"/>
      <c r="G147" s="67"/>
      <c r="H147" s="67"/>
      <c r="I147" s="67"/>
      <c r="J147" s="406"/>
      <c r="K147" s="143"/>
    </row>
    <row r="148" spans="1:11" x14ac:dyDescent="0.3">
      <c r="B148" s="681"/>
      <c r="C148" s="681"/>
      <c r="D148" s="125"/>
      <c r="E148" s="67"/>
      <c r="F148" s="67"/>
      <c r="G148" s="67"/>
      <c r="H148" s="67"/>
      <c r="I148" s="154"/>
      <c r="J148" s="400"/>
      <c r="K148" s="143"/>
    </row>
    <row r="149" spans="1:11" x14ac:dyDescent="0.3">
      <c r="B149" s="681"/>
      <c r="C149" s="681"/>
      <c r="D149" s="125"/>
      <c r="E149" s="67"/>
      <c r="F149" s="67"/>
      <c r="G149" s="67"/>
      <c r="H149" s="67"/>
      <c r="I149" s="154"/>
      <c r="J149" s="400"/>
      <c r="K149" s="143"/>
    </row>
    <row r="150" spans="1:11" x14ac:dyDescent="0.3">
      <c r="B150" s="681"/>
      <c r="C150" s="681"/>
      <c r="D150" s="125"/>
      <c r="E150" s="67"/>
      <c r="F150" s="67"/>
      <c r="G150" s="67"/>
      <c r="H150" s="67"/>
      <c r="I150" s="154"/>
      <c r="J150" s="400"/>
      <c r="K150" s="143"/>
    </row>
    <row r="151" spans="1:11" x14ac:dyDescent="0.3">
      <c r="B151" s="681"/>
      <c r="C151" s="681"/>
      <c r="D151" s="125"/>
      <c r="E151" s="67"/>
      <c r="F151" s="67"/>
      <c r="G151" s="67"/>
      <c r="H151" s="67"/>
      <c r="I151" s="154"/>
      <c r="J151" s="400"/>
      <c r="K151" s="143"/>
    </row>
    <row r="152" spans="1:11" x14ac:dyDescent="0.3">
      <c r="B152" s="681"/>
      <c r="C152" s="681"/>
      <c r="D152" s="125"/>
      <c r="E152" s="67"/>
      <c r="F152" s="67"/>
      <c r="G152" s="67"/>
      <c r="H152" s="67"/>
      <c r="I152" s="154"/>
      <c r="J152" s="400"/>
      <c r="K152" s="143"/>
    </row>
    <row r="153" spans="1:11" x14ac:dyDescent="0.3">
      <c r="B153" s="681"/>
      <c r="C153" s="681"/>
      <c r="D153" s="125"/>
      <c r="E153" s="67"/>
      <c r="F153" s="67"/>
      <c r="G153" s="67"/>
      <c r="H153" s="67"/>
      <c r="I153" s="154"/>
      <c r="J153" s="400"/>
      <c r="K153" s="143"/>
    </row>
    <row r="154" spans="1:11" x14ac:dyDescent="0.3">
      <c r="B154" s="681"/>
      <c r="C154" s="681"/>
      <c r="D154" s="125"/>
      <c r="E154" s="67"/>
      <c r="F154" s="67"/>
      <c r="G154" s="67"/>
      <c r="H154" s="67"/>
      <c r="I154" s="154"/>
      <c r="J154" s="400"/>
      <c r="K154" s="143"/>
    </row>
    <row r="155" spans="1:11" x14ac:dyDescent="0.3">
      <c r="B155" s="681"/>
      <c r="C155" s="681"/>
      <c r="D155" s="125"/>
      <c r="E155" s="67"/>
      <c r="F155" s="67"/>
      <c r="G155" s="67"/>
      <c r="H155" s="67"/>
      <c r="I155" s="424"/>
      <c r="J155" s="400"/>
      <c r="K155" s="143"/>
    </row>
    <row r="156" spans="1:11" x14ac:dyDescent="0.3">
      <c r="A156" s="67"/>
      <c r="B156" s="67"/>
      <c r="C156" s="67"/>
      <c r="D156" s="407"/>
      <c r="E156" s="154"/>
      <c r="F156" s="425"/>
      <c r="G156" s="425"/>
      <c r="H156" s="426"/>
      <c r="I156" s="67"/>
      <c r="J156" s="143"/>
      <c r="K156" s="143"/>
    </row>
    <row r="157" spans="1:11" x14ac:dyDescent="0.3">
      <c r="A157" s="67"/>
      <c r="B157" s="67"/>
      <c r="C157" s="67"/>
      <c r="D157" s="407"/>
      <c r="E157" s="154"/>
      <c r="F157" s="425"/>
      <c r="G157" s="425"/>
      <c r="H157" s="426"/>
      <c r="I157" s="67"/>
      <c r="J157" s="143"/>
      <c r="K157" s="143"/>
    </row>
    <row r="158" spans="1:11" s="681" customFormat="1" x14ac:dyDescent="0.3">
      <c r="A158" s="67"/>
      <c r="B158" s="67"/>
      <c r="C158" s="67"/>
      <c r="D158" s="125"/>
      <c r="E158" s="67"/>
      <c r="F158" s="406"/>
      <c r="G158" s="406"/>
      <c r="H158" s="406"/>
      <c r="I158" s="406"/>
      <c r="J158" s="143"/>
      <c r="K158" s="143"/>
    </row>
    <row r="159" spans="1:11" s="681" customFormat="1" x14ac:dyDescent="0.3">
      <c r="A159" s="67"/>
      <c r="B159" s="67"/>
      <c r="C159" s="67"/>
      <c r="D159" s="125"/>
      <c r="E159" s="67"/>
      <c r="F159" s="406"/>
      <c r="G159" s="406"/>
      <c r="H159" s="406"/>
      <c r="I159" s="406"/>
      <c r="J159" s="143"/>
      <c r="K159" s="143"/>
    </row>
    <row r="160" spans="1:11" s="681" customFormat="1" x14ac:dyDescent="0.3">
      <c r="A160" s="67"/>
      <c r="B160" s="67"/>
      <c r="C160" s="67"/>
      <c r="D160" s="407"/>
      <c r="E160" s="406"/>
      <c r="F160" s="406"/>
      <c r="G160" s="406"/>
      <c r="H160" s="406"/>
      <c r="I160" s="406"/>
      <c r="J160" s="143"/>
      <c r="K160" s="143"/>
    </row>
    <row r="161" spans="1:9" s="681" customFormat="1" x14ac:dyDescent="0.3">
      <c r="A161" s="67"/>
      <c r="B161" s="67"/>
      <c r="C161" s="67"/>
      <c r="D161" s="427"/>
    </row>
    <row r="162" spans="1:9" x14ac:dyDescent="0.3">
      <c r="B162" s="681"/>
      <c r="C162" s="681"/>
      <c r="D162" s="427"/>
      <c r="E162" s="681"/>
      <c r="F162" s="681"/>
    </row>
    <row r="163" spans="1:9" x14ac:dyDescent="0.3">
      <c r="B163" s="681"/>
      <c r="C163" s="681"/>
      <c r="D163" s="427"/>
      <c r="E163" s="681"/>
      <c r="F163" s="681"/>
    </row>
    <row r="164" spans="1:9" x14ac:dyDescent="0.3">
      <c r="B164" s="681"/>
      <c r="C164" s="428"/>
      <c r="D164" s="429"/>
      <c r="E164" s="428"/>
      <c r="F164" s="428"/>
      <c r="G164" s="428"/>
      <c r="I164" s="428"/>
    </row>
    <row r="165" spans="1:9" x14ac:dyDescent="0.3">
      <c r="B165" s="681"/>
      <c r="C165" s="681"/>
      <c r="D165" s="427"/>
      <c r="E165" s="681"/>
      <c r="F165" s="681"/>
    </row>
    <row r="166" spans="1:9" x14ac:dyDescent="0.3">
      <c r="B166" s="681"/>
      <c r="C166" s="681"/>
      <c r="D166" s="427"/>
      <c r="E166" s="681"/>
      <c r="F166" s="681"/>
    </row>
    <row r="167" spans="1:9" x14ac:dyDescent="0.3">
      <c r="B167" s="681"/>
      <c r="C167" s="681"/>
      <c r="D167" s="427"/>
      <c r="E167" s="681"/>
      <c r="F167" s="681"/>
    </row>
    <row r="168" spans="1:9" x14ac:dyDescent="0.3">
      <c r="B168" s="681"/>
      <c r="C168" s="681"/>
      <c r="D168" s="427"/>
      <c r="E168" s="681"/>
      <c r="F168" s="681"/>
    </row>
    <row r="169" spans="1:9" x14ac:dyDescent="0.3">
      <c r="B169" s="681"/>
      <c r="C169" s="681"/>
      <c r="D169" s="427"/>
      <c r="E169" s="681"/>
      <c r="F169" s="681"/>
    </row>
    <row r="170" spans="1:9" x14ac:dyDescent="0.3">
      <c r="B170" s="681"/>
      <c r="C170" s="681"/>
      <c r="D170" s="427"/>
      <c r="E170" s="681"/>
      <c r="F170" s="681"/>
    </row>
    <row r="171" spans="1:9" x14ac:dyDescent="0.3">
      <c r="B171" s="681"/>
      <c r="C171" s="681"/>
      <c r="D171" s="429"/>
      <c r="E171" s="428"/>
      <c r="F171" s="428"/>
    </row>
    <row r="172" spans="1:9" x14ac:dyDescent="0.3">
      <c r="B172" s="681"/>
      <c r="C172" s="681"/>
      <c r="D172" s="427"/>
      <c r="E172" s="681"/>
      <c r="F172" s="681"/>
    </row>
    <row r="173" spans="1:9" x14ac:dyDescent="0.3">
      <c r="B173" s="681"/>
      <c r="C173" s="681"/>
      <c r="D173" s="430"/>
      <c r="E173" s="681"/>
      <c r="F173" s="681"/>
    </row>
    <row r="174" spans="1:9" x14ac:dyDescent="0.3">
      <c r="B174" s="681"/>
      <c r="C174" s="681"/>
      <c r="D174" s="427"/>
      <c r="E174" s="681"/>
      <c r="F174" s="681"/>
    </row>
    <row r="175" spans="1:9" x14ac:dyDescent="0.3">
      <c r="B175" s="681"/>
      <c r="C175" s="681"/>
      <c r="D175" s="427"/>
      <c r="E175" s="681"/>
      <c r="F175" s="681"/>
    </row>
    <row r="176" spans="1:9" x14ac:dyDescent="0.3">
      <c r="B176" s="681"/>
      <c r="C176" s="681"/>
      <c r="D176" s="427"/>
      <c r="E176" s="681"/>
      <c r="F176" s="681"/>
    </row>
    <row r="177" spans="2:6" x14ac:dyDescent="0.3">
      <c r="B177" s="681"/>
      <c r="C177" s="681"/>
      <c r="D177" s="427"/>
      <c r="E177" s="681"/>
      <c r="F177" s="681"/>
    </row>
    <row r="178" spans="2:6" x14ac:dyDescent="0.3">
      <c r="B178" s="681"/>
      <c r="C178" s="681"/>
      <c r="D178" s="427"/>
      <c r="E178" s="681"/>
      <c r="F178" s="681"/>
    </row>
    <row r="179" spans="2:6" x14ac:dyDescent="0.3">
      <c r="B179" s="681"/>
      <c r="C179" s="681"/>
      <c r="D179" s="427"/>
      <c r="E179" s="681"/>
      <c r="F179" s="681"/>
    </row>
    <row r="180" spans="2:6" x14ac:dyDescent="0.3">
      <c r="B180" s="681"/>
      <c r="C180" s="681"/>
      <c r="D180" s="427"/>
      <c r="E180" s="681"/>
      <c r="F180" s="681"/>
    </row>
    <row r="181" spans="2:6" x14ac:dyDescent="0.3">
      <c r="B181" s="681"/>
      <c r="C181" s="681"/>
      <c r="D181" s="427"/>
      <c r="E181" s="681"/>
      <c r="F181" s="681"/>
    </row>
    <row r="182" spans="2:6" s="681" customFormat="1" x14ac:dyDescent="0.3">
      <c r="D182" s="427"/>
    </row>
    <row r="183" spans="2:6" s="681" customFormat="1" x14ac:dyDescent="0.3">
      <c r="D183" s="427"/>
    </row>
    <row r="184" spans="2:6" s="681" customFormat="1" x14ac:dyDescent="0.3">
      <c r="D184" s="427"/>
    </row>
    <row r="185" spans="2:6" s="681" customFormat="1" x14ac:dyDescent="0.3">
      <c r="D185" s="427"/>
    </row>
    <row r="186" spans="2:6" s="681" customFormat="1" x14ac:dyDescent="0.3">
      <c r="D186" s="427"/>
    </row>
    <row r="187" spans="2:6" s="681" customFormat="1" x14ac:dyDescent="0.3">
      <c r="D187" s="427"/>
    </row>
    <row r="188" spans="2:6" s="681" customFormat="1" x14ac:dyDescent="0.3">
      <c r="D188" s="427"/>
    </row>
    <row r="189" spans="2:6" s="681" customFormat="1" x14ac:dyDescent="0.3">
      <c r="D189" s="427"/>
    </row>
    <row r="190" spans="2:6" s="681" customFormat="1" x14ac:dyDescent="0.3">
      <c r="D190" s="427"/>
    </row>
    <row r="191" spans="2:6" s="681" customFormat="1" x14ac:dyDescent="0.3">
      <c r="D191" s="427"/>
    </row>
    <row r="192" spans="2:6" s="681" customFormat="1" x14ac:dyDescent="0.3">
      <c r="D192" s="427"/>
    </row>
    <row r="193" spans="4:4" s="681" customFormat="1" x14ac:dyDescent="0.3">
      <c r="D193" s="427"/>
    </row>
    <row r="194" spans="4:4" s="681" customFormat="1" x14ac:dyDescent="0.3">
      <c r="D194" s="427"/>
    </row>
    <row r="195" spans="4:4" s="681" customFormat="1" x14ac:dyDescent="0.3">
      <c r="D195" s="427"/>
    </row>
    <row r="196" spans="4:4" s="681" customFormat="1" x14ac:dyDescent="0.3">
      <c r="D196" s="427"/>
    </row>
    <row r="197" spans="4:4" s="681" customFormat="1" x14ac:dyDescent="0.3">
      <c r="D197" s="427"/>
    </row>
    <row r="198" spans="4:4" s="681" customFormat="1" x14ac:dyDescent="0.3">
      <c r="D198" s="427"/>
    </row>
    <row r="199" spans="4:4" s="681" customFormat="1" x14ac:dyDescent="0.3">
      <c r="D199" s="427"/>
    </row>
    <row r="200" spans="4:4" s="681" customFormat="1" x14ac:dyDescent="0.3">
      <c r="D200" s="427"/>
    </row>
    <row r="201" spans="4:4" s="681" customFormat="1" x14ac:dyDescent="0.3">
      <c r="D201" s="427"/>
    </row>
    <row r="202" spans="4:4" s="681" customFormat="1" x14ac:dyDescent="0.3">
      <c r="D202" s="427"/>
    </row>
    <row r="203" spans="4:4" s="681" customFormat="1" x14ac:dyDescent="0.3">
      <c r="D203" s="427"/>
    </row>
    <row r="204" spans="4:4" s="681" customFormat="1" x14ac:dyDescent="0.3">
      <c r="D204" s="427"/>
    </row>
    <row r="205" spans="4:4" s="681" customFormat="1" x14ac:dyDescent="0.3">
      <c r="D205" s="427"/>
    </row>
    <row r="206" spans="4:4" s="681" customFormat="1" x14ac:dyDescent="0.3">
      <c r="D206" s="427"/>
    </row>
    <row r="207" spans="4:4" s="681" customFormat="1" x14ac:dyDescent="0.3">
      <c r="D207" s="427"/>
    </row>
    <row r="208" spans="4:4" s="681" customFormat="1" x14ac:dyDescent="0.3">
      <c r="D208" s="427"/>
    </row>
    <row r="209" spans="4:4" s="681" customFormat="1" x14ac:dyDescent="0.3">
      <c r="D209" s="427"/>
    </row>
    <row r="210" spans="4:4" s="681" customFormat="1" x14ac:dyDescent="0.3">
      <c r="D210" s="427"/>
    </row>
    <row r="211" spans="4:4" s="681" customFormat="1" x14ac:dyDescent="0.3">
      <c r="D211" s="427"/>
    </row>
    <row r="212" spans="4:4" s="681" customFormat="1" x14ac:dyDescent="0.3">
      <c r="D212" s="427"/>
    </row>
    <row r="213" spans="4:4" s="681" customFormat="1" x14ac:dyDescent="0.3">
      <c r="D213" s="427"/>
    </row>
    <row r="214" spans="4:4" s="681" customFormat="1" x14ac:dyDescent="0.3">
      <c r="D214" s="427"/>
    </row>
    <row r="215" spans="4:4" s="681" customFormat="1" x14ac:dyDescent="0.3">
      <c r="D215" s="427"/>
    </row>
    <row r="216" spans="4:4" s="681" customFormat="1" x14ac:dyDescent="0.3">
      <c r="D216" s="427"/>
    </row>
    <row r="217" spans="4:4" s="681" customFormat="1" x14ac:dyDescent="0.3">
      <c r="D217" s="427"/>
    </row>
    <row r="218" spans="4:4" s="681" customFormat="1" x14ac:dyDescent="0.3">
      <c r="D218" s="427"/>
    </row>
    <row r="219" spans="4:4" s="681" customFormat="1" x14ac:dyDescent="0.3">
      <c r="D219" s="427"/>
    </row>
    <row r="220" spans="4:4" s="681" customFormat="1" x14ac:dyDescent="0.3">
      <c r="D220" s="427"/>
    </row>
    <row r="221" spans="4:4" s="681" customFormat="1" x14ac:dyDescent="0.3">
      <c r="D221" s="427"/>
    </row>
    <row r="222" spans="4:4" s="681" customFormat="1" x14ac:dyDescent="0.3">
      <c r="D222" s="427"/>
    </row>
    <row r="223" spans="4:4" s="681" customFormat="1" x14ac:dyDescent="0.3">
      <c r="D223" s="427"/>
    </row>
    <row r="224" spans="4:4" s="681" customFormat="1" x14ac:dyDescent="0.3">
      <c r="D224" s="427"/>
    </row>
    <row r="225" spans="4:4" s="681" customFormat="1" x14ac:dyDescent="0.3">
      <c r="D225" s="427"/>
    </row>
    <row r="226" spans="4:4" s="681" customFormat="1" x14ac:dyDescent="0.3">
      <c r="D226" s="427"/>
    </row>
    <row r="227" spans="4:4" s="681" customFormat="1" x14ac:dyDescent="0.3">
      <c r="D227" s="427"/>
    </row>
    <row r="228" spans="4:4" s="681" customFormat="1" x14ac:dyDescent="0.3">
      <c r="D228" s="427"/>
    </row>
    <row r="229" spans="4:4" s="681" customFormat="1" x14ac:dyDescent="0.3">
      <c r="D229" s="427"/>
    </row>
    <row r="230" spans="4:4" s="681" customFormat="1" x14ac:dyDescent="0.3">
      <c r="D230" s="427"/>
    </row>
    <row r="231" spans="4:4" s="681" customFormat="1" x14ac:dyDescent="0.3">
      <c r="D231" s="427"/>
    </row>
    <row r="232" spans="4:4" s="681" customFormat="1" x14ac:dyDescent="0.3">
      <c r="D232" s="427"/>
    </row>
    <row r="233" spans="4:4" s="681" customFormat="1" x14ac:dyDescent="0.3">
      <c r="D233" s="427"/>
    </row>
    <row r="234" spans="4:4" s="681" customFormat="1" x14ac:dyDescent="0.3">
      <c r="D234" s="427"/>
    </row>
    <row r="235" spans="4:4" s="681" customFormat="1" x14ac:dyDescent="0.3">
      <c r="D235" s="427"/>
    </row>
    <row r="236" spans="4:4" s="681" customFormat="1" x14ac:dyDescent="0.3">
      <c r="D236" s="427"/>
    </row>
    <row r="237" spans="4:4" s="681" customFormat="1" x14ac:dyDescent="0.3">
      <c r="D237" s="427"/>
    </row>
    <row r="238" spans="4:4" s="681" customFormat="1" x14ac:dyDescent="0.3">
      <c r="D238" s="427"/>
    </row>
    <row r="239" spans="4:4" s="681" customFormat="1" x14ac:dyDescent="0.3">
      <c r="D239" s="427"/>
    </row>
    <row r="240" spans="4:4" s="681" customFormat="1" x14ac:dyDescent="0.3">
      <c r="D240" s="427"/>
    </row>
    <row r="241" spans="4:4" s="681" customFormat="1" x14ac:dyDescent="0.3">
      <c r="D241" s="427"/>
    </row>
    <row r="242" spans="4:4" s="681" customFormat="1" x14ac:dyDescent="0.3">
      <c r="D242" s="427"/>
    </row>
    <row r="243" spans="4:4" s="681" customFormat="1" x14ac:dyDescent="0.3">
      <c r="D243" s="427"/>
    </row>
    <row r="244" spans="4:4" s="681" customFormat="1" x14ac:dyDescent="0.3">
      <c r="D244" s="427"/>
    </row>
    <row r="245" spans="4:4" s="681" customFormat="1" x14ac:dyDescent="0.3">
      <c r="D245" s="427"/>
    </row>
    <row r="246" spans="4:4" s="681" customFormat="1" x14ac:dyDescent="0.3">
      <c r="D246" s="427"/>
    </row>
    <row r="247" spans="4:4" s="681" customFormat="1" x14ac:dyDescent="0.3">
      <c r="D247" s="427"/>
    </row>
    <row r="248" spans="4:4" s="681" customFormat="1" x14ac:dyDescent="0.3">
      <c r="D248" s="427"/>
    </row>
    <row r="249" spans="4:4" s="681" customFormat="1" x14ac:dyDescent="0.3">
      <c r="D249" s="427"/>
    </row>
    <row r="250" spans="4:4" s="681" customFormat="1" x14ac:dyDescent="0.3">
      <c r="D250" s="427"/>
    </row>
    <row r="251" spans="4:4" s="681" customFormat="1" x14ac:dyDescent="0.3">
      <c r="D251" s="427"/>
    </row>
    <row r="252" spans="4:4" s="681" customFormat="1" x14ac:dyDescent="0.3">
      <c r="D252" s="427"/>
    </row>
    <row r="253" spans="4:4" s="681" customFormat="1" x14ac:dyDescent="0.3">
      <c r="D253" s="427"/>
    </row>
    <row r="254" spans="4:4" s="681" customFormat="1" x14ac:dyDescent="0.3">
      <c r="D254" s="427"/>
    </row>
    <row r="255" spans="4:4" s="681" customFormat="1" x14ac:dyDescent="0.3">
      <c r="D255" s="427"/>
    </row>
    <row r="256" spans="4:4" s="681" customFormat="1" x14ac:dyDescent="0.3">
      <c r="D256" s="427"/>
    </row>
    <row r="257" spans="4:4" s="681" customFormat="1" x14ac:dyDescent="0.3">
      <c r="D257" s="427"/>
    </row>
    <row r="258" spans="4:4" s="681" customFormat="1" x14ac:dyDescent="0.3">
      <c r="D258" s="427"/>
    </row>
    <row r="259" spans="4:4" s="681" customFormat="1" x14ac:dyDescent="0.3">
      <c r="D259" s="427"/>
    </row>
    <row r="260" spans="4:4" s="681" customFormat="1" x14ac:dyDescent="0.3">
      <c r="D260" s="427"/>
    </row>
    <row r="261" spans="4:4" s="681" customFormat="1" x14ac:dyDescent="0.3">
      <c r="D261" s="427"/>
    </row>
    <row r="262" spans="4:4" s="681" customFormat="1" x14ac:dyDescent="0.3">
      <c r="D262" s="427"/>
    </row>
    <row r="263" spans="4:4" s="681" customFormat="1" x14ac:dyDescent="0.3">
      <c r="D263" s="427"/>
    </row>
    <row r="264" spans="4:4" s="681" customFormat="1" x14ac:dyDescent="0.3">
      <c r="D264" s="427"/>
    </row>
    <row r="265" spans="4:4" s="681" customFormat="1" x14ac:dyDescent="0.3">
      <c r="D265" s="427"/>
    </row>
    <row r="266" spans="4:4" s="681" customFormat="1" x14ac:dyDescent="0.3">
      <c r="D266" s="427"/>
    </row>
    <row r="267" spans="4:4" s="681" customFormat="1" x14ac:dyDescent="0.3">
      <c r="D267" s="427"/>
    </row>
    <row r="268" spans="4:4" s="681" customFormat="1" x14ac:dyDescent="0.3">
      <c r="D268" s="427"/>
    </row>
    <row r="269" spans="4:4" s="681" customFormat="1" x14ac:dyDescent="0.3">
      <c r="D269" s="427"/>
    </row>
    <row r="270" spans="4:4" s="681" customFormat="1" x14ac:dyDescent="0.3">
      <c r="D270" s="427"/>
    </row>
    <row r="271" spans="4:4" s="681" customFormat="1" x14ac:dyDescent="0.3">
      <c r="D271" s="427"/>
    </row>
    <row r="272" spans="4:4" s="681" customFormat="1" x14ac:dyDescent="0.3">
      <c r="D272" s="427"/>
    </row>
    <row r="273" spans="4:4" s="681" customFormat="1" x14ac:dyDescent="0.3">
      <c r="D273" s="427"/>
    </row>
    <row r="274" spans="4:4" s="681" customFormat="1" x14ac:dyDescent="0.3">
      <c r="D274" s="427"/>
    </row>
    <row r="275" spans="4:4" s="681" customFormat="1" x14ac:dyDescent="0.3">
      <c r="D275" s="427"/>
    </row>
    <row r="276" spans="4:4" s="681" customFormat="1" x14ac:dyDescent="0.3">
      <c r="D276" s="427"/>
    </row>
    <row r="277" spans="4:4" s="681" customFormat="1" x14ac:dyDescent="0.3">
      <c r="D277" s="427"/>
    </row>
    <row r="278" spans="4:4" s="681" customFormat="1" x14ac:dyDescent="0.3">
      <c r="D278" s="427"/>
    </row>
    <row r="279" spans="4:4" s="681" customFormat="1" x14ac:dyDescent="0.3">
      <c r="D279" s="427"/>
    </row>
    <row r="280" spans="4:4" s="681" customFormat="1" x14ac:dyDescent="0.3">
      <c r="D280" s="427"/>
    </row>
    <row r="281" spans="4:4" s="681" customFormat="1" x14ac:dyDescent="0.3">
      <c r="D281" s="427"/>
    </row>
    <row r="282" spans="4:4" s="681" customFormat="1" x14ac:dyDescent="0.3">
      <c r="D282" s="427"/>
    </row>
    <row r="283" spans="4:4" s="681" customFormat="1" x14ac:dyDescent="0.3">
      <c r="D283" s="427"/>
    </row>
    <row r="284" spans="4:4" s="681" customFormat="1" x14ac:dyDescent="0.3">
      <c r="D284" s="427"/>
    </row>
    <row r="285" spans="4:4" s="681" customFormat="1" x14ac:dyDescent="0.3">
      <c r="D285" s="427"/>
    </row>
    <row r="286" spans="4:4" s="681" customFormat="1" x14ac:dyDescent="0.3">
      <c r="D286" s="427"/>
    </row>
    <row r="287" spans="4:4" s="681" customFormat="1" x14ac:dyDescent="0.3">
      <c r="D287" s="427"/>
    </row>
    <row r="288" spans="4:4" s="681" customFormat="1" x14ac:dyDescent="0.3">
      <c r="D288" s="427"/>
    </row>
    <row r="289" spans="4:4" s="681" customFormat="1" x14ac:dyDescent="0.3">
      <c r="D289" s="427"/>
    </row>
    <row r="290" spans="4:4" s="681" customFormat="1" x14ac:dyDescent="0.3">
      <c r="D290" s="427"/>
    </row>
    <row r="291" spans="4:4" s="681" customFormat="1" x14ac:dyDescent="0.3">
      <c r="D291" s="427"/>
    </row>
    <row r="292" spans="4:4" s="681" customFormat="1" x14ac:dyDescent="0.3">
      <c r="D292" s="427"/>
    </row>
    <row r="293" spans="4:4" s="681" customFormat="1" x14ac:dyDescent="0.3">
      <c r="D293" s="427"/>
    </row>
    <row r="294" spans="4:4" s="681" customFormat="1" x14ac:dyDescent="0.3">
      <c r="D294" s="427"/>
    </row>
    <row r="295" spans="4:4" s="681" customFormat="1" x14ac:dyDescent="0.3">
      <c r="D295" s="427"/>
    </row>
    <row r="296" spans="4:4" s="681" customFormat="1" x14ac:dyDescent="0.3">
      <c r="D296" s="427"/>
    </row>
    <row r="297" spans="4:4" s="681" customFormat="1" x14ac:dyDescent="0.3">
      <c r="D297" s="427"/>
    </row>
    <row r="298" spans="4:4" s="681" customFormat="1" x14ac:dyDescent="0.3">
      <c r="D298" s="427"/>
    </row>
    <row r="299" spans="4:4" s="681" customFormat="1" x14ac:dyDescent="0.3">
      <c r="D299" s="427"/>
    </row>
    <row r="300" spans="4:4" s="681" customFormat="1" x14ac:dyDescent="0.3">
      <c r="D300" s="427"/>
    </row>
    <row r="301" spans="4:4" s="681" customFormat="1" x14ac:dyDescent="0.3">
      <c r="D301" s="427"/>
    </row>
    <row r="302" spans="4:4" s="681" customFormat="1" x14ac:dyDescent="0.3">
      <c r="D302" s="427"/>
    </row>
    <row r="303" spans="4:4" s="681" customFormat="1" x14ac:dyDescent="0.3">
      <c r="D303" s="427"/>
    </row>
    <row r="304" spans="4:4" s="681" customFormat="1" x14ac:dyDescent="0.3">
      <c r="D304" s="427"/>
    </row>
    <row r="305" spans="4:4" s="681" customFormat="1" x14ac:dyDescent="0.3">
      <c r="D305" s="427"/>
    </row>
    <row r="306" spans="4:4" s="681" customFormat="1" x14ac:dyDescent="0.3">
      <c r="D306" s="427"/>
    </row>
    <row r="307" spans="4:4" s="681" customFormat="1" x14ac:dyDescent="0.3">
      <c r="D307" s="427"/>
    </row>
    <row r="308" spans="4:4" s="681" customFormat="1" x14ac:dyDescent="0.3">
      <c r="D308" s="427"/>
    </row>
    <row r="309" spans="4:4" s="681" customFormat="1" x14ac:dyDescent="0.3">
      <c r="D309" s="427"/>
    </row>
    <row r="310" spans="4:4" s="681" customFormat="1" x14ac:dyDescent="0.3">
      <c r="D310" s="427"/>
    </row>
    <row r="311" spans="4:4" s="681" customFormat="1" x14ac:dyDescent="0.3">
      <c r="D311" s="427"/>
    </row>
    <row r="312" spans="4:4" s="681" customFormat="1" x14ac:dyDescent="0.3">
      <c r="D312" s="427"/>
    </row>
  </sheetData>
  <sheetProtection algorithmName="SHA-512" hashValue="TERm8Q/KaHGGk+9bs+/LvrqNMuqg2JeAtTOxRU1NIxTryx/7hbP+nWcw6MPUUsP4H1mVkaGRlGxVbqOR5N+C/A==" saltValue="/x5ZMmNeoIBmY+Av53xw2A==" spinCount="100000" sheet="1" objects="1" scenarios="1"/>
  <protectedRanges>
    <protectedRange algorithmName="SHA-512" hashValue="SwVvXLw1dNqQK25PhFQ5RPsVZlJf+MrVEMn1j6tZwq2XlexQuSj4FbX1rPFJnaY3hZ00X798Jtarkz+YEZL9ig==" saltValue="2qHqlPj4zcUgFFmLxHCmwg==" spinCount="100000" sqref="A1:XFD1048576" name="Plage1"/>
  </protectedRanges>
  <mergeCells count="19">
    <mergeCell ref="A12:H12"/>
    <mergeCell ref="A23:B24"/>
    <mergeCell ref="J111:R113"/>
    <mergeCell ref="C55:D55"/>
    <mergeCell ref="A58:B59"/>
    <mergeCell ref="A60:B63"/>
    <mergeCell ref="A83:H83"/>
    <mergeCell ref="A65:B66"/>
    <mergeCell ref="A33:B34"/>
    <mergeCell ref="E30:E31"/>
    <mergeCell ref="A29:B29"/>
    <mergeCell ref="A117:C117"/>
    <mergeCell ref="A127:C127"/>
    <mergeCell ref="C37:D37"/>
    <mergeCell ref="A37:B39"/>
    <mergeCell ref="C52:D52"/>
    <mergeCell ref="D50:I50"/>
    <mergeCell ref="C53:D53"/>
    <mergeCell ref="C54:D54"/>
  </mergeCells>
  <phoneticPr fontId="0" type="noConversion"/>
  <hyperlinks>
    <hyperlink ref="J115" r:id="rId1"/>
    <hyperlink ref="J123" r:id="rId2"/>
  </hyperlinks>
  <pageMargins left="0.78740157499999996" right="0.78740157499999996" top="0.984251969" bottom="0.984251969" header="0.5" footer="0.5"/>
  <pageSetup scale="18" orientation="landscape" r:id="rId3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2"/>
    <pageSetUpPr fitToPage="1"/>
  </sheetPr>
  <dimension ref="A1:AL145"/>
  <sheetViews>
    <sheetView showGridLines="0" zoomScale="90" zoomScaleNormal="90" workbookViewId="0">
      <selection activeCell="J216" sqref="A1:XFD1048576"/>
    </sheetView>
  </sheetViews>
  <sheetFormatPr baseColWidth="10" defaultColWidth="9.296875" defaultRowHeight="13" x14ac:dyDescent="0.3"/>
  <cols>
    <col min="1" max="1" width="7.296875" style="62" customWidth="1"/>
    <col min="2" max="2" width="38.296875" style="62" customWidth="1"/>
    <col min="3" max="3" width="22.796875" style="9" customWidth="1"/>
    <col min="4" max="4" width="21" style="9" customWidth="1"/>
    <col min="5" max="5" width="22.19921875" style="65" customWidth="1"/>
    <col min="6" max="6" width="34" style="9" customWidth="1"/>
    <col min="7" max="7" width="38.796875" style="9" customWidth="1"/>
    <col min="8" max="8" width="14" style="62" customWidth="1"/>
    <col min="9" max="9" width="9.296875" style="62" customWidth="1"/>
    <col min="10" max="10" width="10.69921875" style="62" customWidth="1"/>
    <col min="11" max="38" width="9.296875" style="62" customWidth="1"/>
    <col min="39" max="16384" width="9.296875" style="9"/>
  </cols>
  <sheetData>
    <row r="1" spans="1:7" s="189" customFormat="1" ht="27" customHeight="1" x14ac:dyDescent="0.3">
      <c r="A1" s="191" t="s">
        <v>470</v>
      </c>
      <c r="E1" s="190"/>
    </row>
    <row r="2" spans="1:7" s="485" customFormat="1" ht="28" customHeight="1" x14ac:dyDescent="0.3">
      <c r="A2" s="484"/>
      <c r="E2" s="486"/>
    </row>
    <row r="3" spans="1:7" s="485" customFormat="1" ht="28" customHeight="1" x14ac:dyDescent="0.3">
      <c r="A3" s="484"/>
      <c r="C3" s="464" t="s">
        <v>594</v>
      </c>
      <c r="E3" s="486"/>
    </row>
    <row r="4" spans="1:7" s="485" customFormat="1" ht="28" customHeight="1" x14ac:dyDescent="0.3">
      <c r="A4" s="484"/>
      <c r="B4" s="487" t="s">
        <v>636</v>
      </c>
      <c r="C4" s="490">
        <f>F16</f>
        <v>494504.55219512177</v>
      </c>
      <c r="E4" s="486"/>
    </row>
    <row r="5" spans="1:7" s="485" customFormat="1" ht="28" customHeight="1" x14ac:dyDescent="0.3">
      <c r="A5" s="484"/>
      <c r="B5" s="487" t="s">
        <v>637</v>
      </c>
      <c r="C5" s="490">
        <f>C27</f>
        <v>100434.30100594585</v>
      </c>
      <c r="E5" s="486"/>
    </row>
    <row r="6" spans="1:7" s="485" customFormat="1" ht="28" customHeight="1" x14ac:dyDescent="0.3">
      <c r="A6" s="484"/>
      <c r="B6" s="487" t="s">
        <v>638</v>
      </c>
      <c r="C6" s="490">
        <f>F44</f>
        <v>9740.0508986798141</v>
      </c>
      <c r="E6" s="486"/>
    </row>
    <row r="7" spans="1:7" s="485" customFormat="1" ht="28" customHeight="1" x14ac:dyDescent="0.3">
      <c r="A7" s="484"/>
      <c r="B7" s="487" t="s">
        <v>688</v>
      </c>
      <c r="C7" s="490">
        <f>SUM(C4:C6)</f>
        <v>604678.90409974742</v>
      </c>
      <c r="E7" s="486"/>
    </row>
    <row r="8" spans="1:7" s="485" customFormat="1" ht="28" customHeight="1" x14ac:dyDescent="0.3">
      <c r="A8" s="484"/>
      <c r="B8" s="489"/>
      <c r="C8" s="488"/>
      <c r="E8" s="486"/>
    </row>
    <row r="9" spans="1:7" s="453" customFormat="1" ht="28" customHeight="1" x14ac:dyDescent="0.3">
      <c r="A9" s="193" t="s">
        <v>636</v>
      </c>
      <c r="E9" s="454"/>
    </row>
    <row r="10" spans="1:7" ht="15.75" customHeight="1" x14ac:dyDescent="0.3">
      <c r="C10" s="11"/>
      <c r="D10" s="11"/>
    </row>
    <row r="11" spans="1:7" ht="23.15" customHeight="1" x14ac:dyDescent="0.35">
      <c r="B11" s="905" t="s">
        <v>246</v>
      </c>
      <c r="C11" s="801"/>
      <c r="D11" s="1"/>
      <c r="E11" s="459"/>
      <c r="F11" s="1"/>
      <c r="G11" s="1"/>
    </row>
    <row r="12" spans="1:7" ht="23.15" customHeight="1" x14ac:dyDescent="0.35">
      <c r="B12" s="456" t="s">
        <v>247</v>
      </c>
      <c r="C12" s="457">
        <f>121680</f>
        <v>121680</v>
      </c>
      <c r="D12" s="460"/>
      <c r="E12" s="459"/>
      <c r="F12" s="1"/>
      <c r="G12" s="1"/>
    </row>
    <row r="13" spans="1:7" ht="15.5" x14ac:dyDescent="0.35">
      <c r="B13" s="47" t="s">
        <v>664</v>
      </c>
      <c r="C13" s="47"/>
      <c r="D13" s="47"/>
      <c r="E13" s="461"/>
      <c r="F13" s="47"/>
      <c r="G13" s="47"/>
    </row>
    <row r="14" spans="1:7" ht="15.5" x14ac:dyDescent="0.35">
      <c r="B14" s="47"/>
      <c r="C14" s="47"/>
      <c r="D14" s="47"/>
      <c r="E14" s="461"/>
      <c r="F14" s="47"/>
      <c r="G14" s="47"/>
    </row>
    <row r="15" spans="1:7" ht="18" x14ac:dyDescent="0.35">
      <c r="B15" s="462" t="s">
        <v>10</v>
      </c>
      <c r="C15" s="463" t="s">
        <v>667</v>
      </c>
      <c r="D15" s="463" t="s">
        <v>668</v>
      </c>
      <c r="E15" s="463" t="s">
        <v>669</v>
      </c>
      <c r="F15" s="464" t="s">
        <v>594</v>
      </c>
      <c r="G15" s="47"/>
    </row>
    <row r="16" spans="1:7" ht="22" customHeight="1" x14ac:dyDescent="0.35">
      <c r="B16" s="465" t="s">
        <v>247</v>
      </c>
      <c r="C16" s="466">
        <f>C12*'Coefficients d''émissions'!B145/1000</f>
        <v>484123.1707317073</v>
      </c>
      <c r="D16" s="466">
        <f>C12*'Coefficients d''émissions'!C145/1000</f>
        <v>220.68597073170736</v>
      </c>
      <c r="E16" s="466">
        <f>C12*'Coefficients d''émissions'!D145/1000</f>
        <v>16.322926829268283</v>
      </c>
      <c r="F16" s="467">
        <f>C12*'Coefficients d''émissions'!E145/1000</f>
        <v>494504.55219512177</v>
      </c>
      <c r="G16" s="47"/>
    </row>
    <row r="17" spans="1:22" x14ac:dyDescent="0.3">
      <c r="A17" s="11"/>
      <c r="B17" s="11"/>
      <c r="C17" s="11"/>
      <c r="D17" s="11"/>
      <c r="E17" s="64"/>
      <c r="F17" s="62"/>
      <c r="G17" s="62"/>
    </row>
    <row r="18" spans="1:22" s="453" customFormat="1" ht="27" customHeight="1" x14ac:dyDescent="0.3">
      <c r="A18" s="193" t="s">
        <v>637</v>
      </c>
      <c r="E18" s="454"/>
    </row>
    <row r="19" spans="1:22" s="62" customFormat="1" x14ac:dyDescent="0.3">
      <c r="B19" s="63"/>
      <c r="E19" s="64"/>
    </row>
    <row r="20" spans="1:22" s="62" customFormat="1" ht="29.15" customHeight="1" x14ac:dyDescent="0.35">
      <c r="B20" s="906" t="s">
        <v>663</v>
      </c>
      <c r="C20" s="838"/>
      <c r="D20" s="47"/>
      <c r="E20" s="64"/>
      <c r="F20" s="469" t="s">
        <v>673</v>
      </c>
      <c r="G20" s="481" t="s">
        <v>663</v>
      </c>
    </row>
    <row r="21" spans="1:22" s="62" customFormat="1" ht="32.15" customHeight="1" x14ac:dyDescent="0.35">
      <c r="B21" s="456" t="s">
        <v>666</v>
      </c>
      <c r="C21" s="457">
        <v>27600</v>
      </c>
      <c r="D21" s="47"/>
      <c r="E21" s="64"/>
      <c r="F21" s="470" t="s">
        <v>393</v>
      </c>
      <c r="G21" s="478">
        <v>55.1</v>
      </c>
    </row>
    <row r="22" spans="1:22" s="62" customFormat="1" ht="19" customHeight="1" x14ac:dyDescent="0.35">
      <c r="B22" s="458" t="s">
        <v>671</v>
      </c>
      <c r="C22" s="457">
        <f>C21*G30</f>
        <v>11198.159586310912</v>
      </c>
      <c r="D22" s="47"/>
      <c r="E22" s="64"/>
      <c r="F22" s="470" t="s">
        <v>394</v>
      </c>
      <c r="G22" s="478">
        <v>9075.9</v>
      </c>
    </row>
    <row r="23" spans="1:22" s="62" customFormat="1" ht="26.15" customHeight="1" x14ac:dyDescent="0.35">
      <c r="B23" s="458" t="s">
        <v>681</v>
      </c>
      <c r="C23" s="457">
        <f>C22/G32</f>
        <v>107037.46723165871</v>
      </c>
      <c r="D23" s="47"/>
      <c r="E23" s="64"/>
      <c r="F23" s="470" t="s">
        <v>395</v>
      </c>
      <c r="G23" s="478">
        <v>2181.1</v>
      </c>
    </row>
    <row r="24" spans="1:22" s="62" customFormat="1" ht="24" customHeight="1" x14ac:dyDescent="0.35">
      <c r="D24" s="47"/>
      <c r="E24" s="64"/>
      <c r="F24" s="318" t="s">
        <v>396</v>
      </c>
      <c r="G24" s="478">
        <v>1757.8</v>
      </c>
    </row>
    <row r="25" spans="1:22" s="62" customFormat="1" ht="28" customHeight="1" x14ac:dyDescent="0.35">
      <c r="B25" s="462" t="s">
        <v>10</v>
      </c>
      <c r="C25" s="464" t="s">
        <v>594</v>
      </c>
      <c r="D25" s="471"/>
      <c r="E25" s="461"/>
      <c r="F25" s="318" t="s">
        <v>397</v>
      </c>
      <c r="G25" s="478">
        <v>36.4</v>
      </c>
      <c r="I25" s="47"/>
      <c r="J25" s="47"/>
      <c r="K25" s="455"/>
      <c r="L25" s="455"/>
      <c r="M25" s="455"/>
      <c r="N25" s="455"/>
      <c r="O25" s="455"/>
      <c r="P25" s="455"/>
      <c r="Q25" s="455"/>
      <c r="R25" s="455"/>
      <c r="S25" s="455"/>
      <c r="T25" s="455"/>
      <c r="U25" s="455"/>
      <c r="V25" s="455"/>
    </row>
    <row r="26" spans="1:22" s="62" customFormat="1" ht="30" customHeight="1" x14ac:dyDescent="0.35">
      <c r="B26" s="472" t="s">
        <v>683</v>
      </c>
      <c r="C26" s="457">
        <v>960000</v>
      </c>
      <c r="D26" s="471"/>
      <c r="E26" s="468"/>
      <c r="F26" s="318" t="s">
        <v>398</v>
      </c>
      <c r="G26" s="478">
        <v>132.6</v>
      </c>
      <c r="I26" s="47"/>
      <c r="J26" s="47"/>
    </row>
    <row r="27" spans="1:22" s="62" customFormat="1" ht="28" customHeight="1" x14ac:dyDescent="0.35">
      <c r="A27" s="142"/>
      <c r="B27" s="479" t="s">
        <v>682</v>
      </c>
      <c r="C27" s="467">
        <f>C26*C22/C23</f>
        <v>100434.30100594585</v>
      </c>
      <c r="D27" s="47"/>
      <c r="E27" s="468"/>
      <c r="F27" s="318" t="s">
        <v>672</v>
      </c>
      <c r="G27" s="336">
        <f>SUM(G21:G26)</f>
        <v>13238.9</v>
      </c>
      <c r="I27" s="47"/>
      <c r="J27" s="47"/>
    </row>
    <row r="28" spans="1:22" s="142" customFormat="1" ht="29.15" customHeight="1" x14ac:dyDescent="0.35">
      <c r="B28" s="337"/>
      <c r="C28" s="47"/>
      <c r="D28" s="47"/>
      <c r="E28" s="477"/>
      <c r="F28" s="210" t="s">
        <v>677</v>
      </c>
      <c r="G28" s="476">
        <v>22277.599999999999</v>
      </c>
      <c r="I28" s="327"/>
      <c r="J28" s="327"/>
    </row>
    <row r="29" spans="1:22" s="62" customFormat="1" ht="62.15" customHeight="1" x14ac:dyDescent="0.35">
      <c r="B29" s="912" t="s">
        <v>674</v>
      </c>
      <c r="C29" s="912"/>
      <c r="D29" s="912"/>
      <c r="E29" s="468"/>
      <c r="F29" s="318" t="s">
        <v>675</v>
      </c>
      <c r="G29" s="336">
        <f>G28-G27</f>
        <v>9038.6999999999989</v>
      </c>
      <c r="I29" s="47"/>
      <c r="J29" s="47"/>
    </row>
    <row r="30" spans="1:22" s="62" customFormat="1" ht="46" customHeight="1" x14ac:dyDescent="0.35">
      <c r="B30" s="912" t="s">
        <v>392</v>
      </c>
      <c r="C30" s="913"/>
      <c r="D30" s="913"/>
      <c r="E30" s="468"/>
      <c r="F30" s="318" t="s">
        <v>676</v>
      </c>
      <c r="G30" s="318">
        <f>G29/G28</f>
        <v>0.40573041979387364</v>
      </c>
      <c r="I30" s="47"/>
      <c r="J30" s="47"/>
    </row>
    <row r="31" spans="1:22" s="62" customFormat="1" ht="34" customHeight="1" x14ac:dyDescent="0.35">
      <c r="B31" s="914" t="s">
        <v>901</v>
      </c>
      <c r="C31" s="914"/>
      <c r="D31" s="914"/>
      <c r="E31" s="468"/>
      <c r="F31" s="318" t="s">
        <v>678</v>
      </c>
      <c r="G31" s="457">
        <v>86396.3</v>
      </c>
      <c r="I31" s="47"/>
      <c r="J31" s="47"/>
    </row>
    <row r="32" spans="1:22" s="62" customFormat="1" ht="27" customHeight="1" x14ac:dyDescent="0.35">
      <c r="B32" s="914" t="s">
        <v>679</v>
      </c>
      <c r="C32" s="914"/>
      <c r="D32" s="914"/>
      <c r="F32" s="318" t="s">
        <v>680</v>
      </c>
      <c r="G32" s="318">
        <f>G29/G31</f>
        <v>0.10461906354786026</v>
      </c>
      <c r="I32" s="47"/>
      <c r="J32" s="47"/>
    </row>
    <row r="33" spans="1:10" s="62" customFormat="1" ht="33" customHeight="1" x14ac:dyDescent="0.35">
      <c r="I33" s="47"/>
      <c r="J33" s="47"/>
    </row>
    <row r="34" spans="1:10" s="453" customFormat="1" ht="27" customHeight="1" x14ac:dyDescent="0.3">
      <c r="A34" s="193" t="s">
        <v>638</v>
      </c>
      <c r="B34" s="473"/>
      <c r="C34" s="473"/>
      <c r="D34" s="473"/>
      <c r="E34" s="474"/>
    </row>
    <row r="35" spans="1:10" s="62" customFormat="1" ht="15.5" x14ac:dyDescent="0.35">
      <c r="B35" s="47"/>
      <c r="C35" s="47"/>
      <c r="D35" s="47"/>
      <c r="E35" s="461"/>
      <c r="F35" s="327"/>
      <c r="G35" s="327"/>
    </row>
    <row r="36" spans="1:10" s="62" customFormat="1" ht="36" customHeight="1" x14ac:dyDescent="0.35">
      <c r="B36" s="905" t="s">
        <v>248</v>
      </c>
      <c r="C36" s="907"/>
      <c r="D36" s="47"/>
      <c r="E36" s="461"/>
      <c r="F36" s="47"/>
    </row>
    <row r="37" spans="1:10" s="62" customFormat="1" ht="36" customHeight="1" x14ac:dyDescent="0.35">
      <c r="B37" s="456" t="s">
        <v>670</v>
      </c>
      <c r="C37" s="457">
        <f>14*2+13.5*2+11.5*2+12*2</f>
        <v>102</v>
      </c>
      <c r="D37" s="47"/>
      <c r="E37" s="461"/>
      <c r="F37" s="47"/>
    </row>
    <row r="38" spans="1:10" s="62" customFormat="1" ht="27" customHeight="1" x14ac:dyDescent="0.35">
      <c r="B38" s="458" t="s">
        <v>684</v>
      </c>
      <c r="C38" s="457">
        <v>6287</v>
      </c>
      <c r="D38" s="47"/>
      <c r="E38" s="461"/>
      <c r="F38" s="47"/>
    </row>
    <row r="39" spans="1:10" s="62" customFormat="1" x14ac:dyDescent="0.3">
      <c r="B39" s="910" t="s">
        <v>249</v>
      </c>
      <c r="C39" s="911"/>
      <c r="D39" s="911"/>
      <c r="E39" s="911"/>
      <c r="F39" s="911"/>
    </row>
    <row r="40" spans="1:10" s="62" customFormat="1" x14ac:dyDescent="0.3">
      <c r="B40" s="908" t="s">
        <v>250</v>
      </c>
      <c r="C40" s="909"/>
      <c r="D40" s="909"/>
      <c r="E40" s="909"/>
      <c r="F40" s="909"/>
    </row>
    <row r="41" spans="1:10" s="62" customFormat="1" ht="13" customHeight="1" x14ac:dyDescent="0.3">
      <c r="B41" s="483"/>
      <c r="C41" s="483"/>
      <c r="D41" s="483"/>
      <c r="E41" s="483"/>
      <c r="F41" s="483"/>
    </row>
    <row r="42" spans="1:10" s="62" customFormat="1" ht="26.15" customHeight="1" x14ac:dyDescent="0.3">
      <c r="B42" s="462" t="s">
        <v>10</v>
      </c>
      <c r="C42" s="463" t="s">
        <v>667</v>
      </c>
      <c r="D42" s="463" t="s">
        <v>668</v>
      </c>
      <c r="E42" s="463" t="s">
        <v>669</v>
      </c>
      <c r="F42" s="464" t="s">
        <v>594</v>
      </c>
    </row>
    <row r="43" spans="1:10" s="62" customFormat="1" ht="26.15" customHeight="1" x14ac:dyDescent="0.3">
      <c r="B43" s="53" t="s">
        <v>685</v>
      </c>
      <c r="C43" s="482">
        <v>540000</v>
      </c>
      <c r="D43" s="482">
        <f>0.03*1000</f>
        <v>30</v>
      </c>
      <c r="E43" s="482">
        <f>0.2*1000</f>
        <v>200</v>
      </c>
      <c r="F43" s="480">
        <f>C43+D43*PRPCH4+E43*PRPN2O</f>
        <v>600350</v>
      </c>
    </row>
    <row r="44" spans="1:10" s="62" customFormat="1" ht="21" customHeight="1" x14ac:dyDescent="0.3">
      <c r="B44" s="53" t="s">
        <v>313</v>
      </c>
      <c r="C44" s="466">
        <f>C43*($C$37/$C$38)</f>
        <v>8760.9352632416085</v>
      </c>
      <c r="D44" s="475">
        <f t="shared" ref="D44:F44" si="0">D43*($C$37/$C$38)</f>
        <v>0.48671862573564495</v>
      </c>
      <c r="E44" s="475">
        <f t="shared" si="0"/>
        <v>3.2447908382376331</v>
      </c>
      <c r="F44" s="466">
        <f t="shared" si="0"/>
        <v>9740.0508986798141</v>
      </c>
    </row>
    <row r="45" spans="1:10" s="62" customFormat="1" ht="26.15" customHeight="1" x14ac:dyDescent="0.35">
      <c r="B45" s="142" t="s">
        <v>686</v>
      </c>
      <c r="C45" s="47"/>
      <c r="D45" s="47"/>
      <c r="E45" s="461"/>
      <c r="F45" s="47"/>
    </row>
    <row r="46" spans="1:10" s="62" customFormat="1" ht="15.5" x14ac:dyDescent="0.35">
      <c r="B46" s="62" t="s">
        <v>687</v>
      </c>
      <c r="C46" s="47"/>
      <c r="D46" s="47"/>
      <c r="E46" s="461"/>
      <c r="F46" s="47"/>
    </row>
    <row r="47" spans="1:10" s="62" customFormat="1" ht="15.5" x14ac:dyDescent="0.35">
      <c r="B47" s="47"/>
      <c r="C47" s="47"/>
      <c r="D47" s="47"/>
      <c r="E47" s="461"/>
      <c r="F47" s="47"/>
    </row>
    <row r="48" spans="1:10" s="62" customFormat="1" ht="15.5" x14ac:dyDescent="0.35">
      <c r="B48" s="47"/>
      <c r="C48" s="47"/>
      <c r="D48" s="47"/>
      <c r="E48" s="461"/>
      <c r="F48" s="47"/>
    </row>
    <row r="49" spans="2:6" s="62" customFormat="1" ht="15.5" x14ac:dyDescent="0.35">
      <c r="B49" s="47"/>
      <c r="C49" s="47"/>
      <c r="D49" s="47"/>
      <c r="E49" s="461"/>
      <c r="F49" s="47"/>
    </row>
    <row r="50" spans="2:6" s="62" customFormat="1" ht="15.5" x14ac:dyDescent="0.35">
      <c r="B50" s="47"/>
      <c r="C50" s="47"/>
      <c r="D50" s="47"/>
      <c r="E50" s="461"/>
      <c r="F50" s="47"/>
    </row>
    <row r="51" spans="2:6" s="62" customFormat="1" ht="15.5" x14ac:dyDescent="0.35">
      <c r="B51" s="47"/>
      <c r="C51" s="47"/>
      <c r="D51" s="47"/>
      <c r="E51" s="461"/>
      <c r="F51" s="47"/>
    </row>
    <row r="52" spans="2:6" s="62" customFormat="1" ht="15.5" x14ac:dyDescent="0.35">
      <c r="B52" s="47"/>
      <c r="C52" s="47"/>
      <c r="D52" s="47"/>
      <c r="E52" s="461"/>
      <c r="F52" s="47"/>
    </row>
    <row r="53" spans="2:6" s="62" customFormat="1" ht="15.5" x14ac:dyDescent="0.35">
      <c r="B53" s="47"/>
      <c r="C53" s="47"/>
      <c r="D53" s="47"/>
      <c r="E53" s="461"/>
      <c r="F53" s="47"/>
    </row>
    <row r="54" spans="2:6" s="62" customFormat="1" ht="15.5" x14ac:dyDescent="0.35">
      <c r="B54" s="47"/>
      <c r="C54" s="47"/>
      <c r="D54" s="47"/>
      <c r="E54" s="461"/>
      <c r="F54" s="47"/>
    </row>
    <row r="55" spans="2:6" s="62" customFormat="1" ht="15.5" x14ac:dyDescent="0.35">
      <c r="B55" s="47"/>
      <c r="C55" s="47"/>
      <c r="D55" s="47"/>
      <c r="E55" s="461"/>
      <c r="F55" s="47"/>
    </row>
    <row r="56" spans="2:6" s="62" customFormat="1" ht="15.5" x14ac:dyDescent="0.35">
      <c r="B56" s="47"/>
      <c r="C56" s="47"/>
      <c r="D56" s="47"/>
      <c r="E56" s="461"/>
      <c r="F56" s="47"/>
    </row>
    <row r="57" spans="2:6" s="62" customFormat="1" ht="15.5" x14ac:dyDescent="0.35">
      <c r="B57" s="47"/>
      <c r="C57" s="47"/>
      <c r="D57" s="47"/>
      <c r="E57" s="461"/>
      <c r="F57" s="47"/>
    </row>
    <row r="58" spans="2:6" s="62" customFormat="1" ht="15.5" x14ac:dyDescent="0.35">
      <c r="B58" s="47"/>
      <c r="C58" s="47"/>
      <c r="D58" s="47"/>
      <c r="E58" s="461"/>
      <c r="F58" s="47"/>
    </row>
    <row r="59" spans="2:6" s="62" customFormat="1" ht="15.5" x14ac:dyDescent="0.35">
      <c r="B59" s="47"/>
      <c r="C59" s="47"/>
      <c r="D59" s="47"/>
      <c r="E59" s="461"/>
      <c r="F59" s="47"/>
    </row>
    <row r="60" spans="2:6" s="62" customFormat="1" x14ac:dyDescent="0.3">
      <c r="E60" s="64"/>
    </row>
    <row r="61" spans="2:6" s="62" customFormat="1" x14ac:dyDescent="0.3">
      <c r="E61" s="64"/>
    </row>
    <row r="62" spans="2:6" s="62" customFormat="1" x14ac:dyDescent="0.3">
      <c r="E62" s="64"/>
    </row>
    <row r="63" spans="2:6" s="62" customFormat="1" x14ac:dyDescent="0.3">
      <c r="E63" s="64"/>
    </row>
    <row r="64" spans="2:6" s="62" customFormat="1" x14ac:dyDescent="0.3">
      <c r="E64" s="64"/>
    </row>
    <row r="65" spans="5:5" s="62" customFormat="1" x14ac:dyDescent="0.3">
      <c r="E65" s="64"/>
    </row>
    <row r="66" spans="5:5" s="62" customFormat="1" x14ac:dyDescent="0.3">
      <c r="E66" s="64"/>
    </row>
    <row r="67" spans="5:5" s="62" customFormat="1" x14ac:dyDescent="0.3">
      <c r="E67" s="64"/>
    </row>
    <row r="68" spans="5:5" s="62" customFormat="1" x14ac:dyDescent="0.3">
      <c r="E68" s="64"/>
    </row>
    <row r="69" spans="5:5" s="62" customFormat="1" x14ac:dyDescent="0.3">
      <c r="E69" s="64"/>
    </row>
    <row r="70" spans="5:5" s="62" customFormat="1" x14ac:dyDescent="0.3">
      <c r="E70" s="64"/>
    </row>
    <row r="71" spans="5:5" s="62" customFormat="1" x14ac:dyDescent="0.3">
      <c r="E71" s="64"/>
    </row>
    <row r="72" spans="5:5" s="62" customFormat="1" x14ac:dyDescent="0.3">
      <c r="E72" s="64"/>
    </row>
    <row r="73" spans="5:5" s="62" customFormat="1" x14ac:dyDescent="0.3">
      <c r="E73" s="64"/>
    </row>
    <row r="74" spans="5:5" s="62" customFormat="1" x14ac:dyDescent="0.3">
      <c r="E74" s="64"/>
    </row>
    <row r="75" spans="5:5" s="62" customFormat="1" x14ac:dyDescent="0.3">
      <c r="E75" s="64"/>
    </row>
    <row r="76" spans="5:5" s="62" customFormat="1" x14ac:dyDescent="0.3">
      <c r="E76" s="64"/>
    </row>
    <row r="77" spans="5:5" s="62" customFormat="1" x14ac:dyDescent="0.3">
      <c r="E77" s="64"/>
    </row>
    <row r="78" spans="5:5" s="62" customFormat="1" x14ac:dyDescent="0.3">
      <c r="E78" s="64"/>
    </row>
    <row r="79" spans="5:5" s="62" customFormat="1" x14ac:dyDescent="0.3">
      <c r="E79" s="64"/>
    </row>
    <row r="80" spans="5:5" s="62" customFormat="1" x14ac:dyDescent="0.3">
      <c r="E80" s="64"/>
    </row>
    <row r="81" spans="5:5" s="62" customFormat="1" x14ac:dyDescent="0.3">
      <c r="E81" s="64"/>
    </row>
    <row r="82" spans="5:5" s="62" customFormat="1" x14ac:dyDescent="0.3">
      <c r="E82" s="64"/>
    </row>
    <row r="83" spans="5:5" s="62" customFormat="1" x14ac:dyDescent="0.3">
      <c r="E83" s="64"/>
    </row>
    <row r="84" spans="5:5" s="62" customFormat="1" x14ac:dyDescent="0.3">
      <c r="E84" s="64"/>
    </row>
    <row r="85" spans="5:5" s="62" customFormat="1" x14ac:dyDescent="0.3">
      <c r="E85" s="64"/>
    </row>
    <row r="86" spans="5:5" s="62" customFormat="1" x14ac:dyDescent="0.3">
      <c r="E86" s="64"/>
    </row>
    <row r="87" spans="5:5" s="62" customFormat="1" x14ac:dyDescent="0.3">
      <c r="E87" s="64"/>
    </row>
    <row r="88" spans="5:5" s="62" customFormat="1" x14ac:dyDescent="0.3">
      <c r="E88" s="64"/>
    </row>
    <row r="89" spans="5:5" s="62" customFormat="1" x14ac:dyDescent="0.3">
      <c r="E89" s="64"/>
    </row>
    <row r="90" spans="5:5" s="62" customFormat="1" x14ac:dyDescent="0.3">
      <c r="E90" s="64"/>
    </row>
    <row r="91" spans="5:5" s="62" customFormat="1" x14ac:dyDescent="0.3">
      <c r="E91" s="64"/>
    </row>
    <row r="92" spans="5:5" s="62" customFormat="1" x14ac:dyDescent="0.3">
      <c r="E92" s="64"/>
    </row>
    <row r="93" spans="5:5" s="62" customFormat="1" x14ac:dyDescent="0.3">
      <c r="E93" s="64"/>
    </row>
    <row r="94" spans="5:5" s="62" customFormat="1" x14ac:dyDescent="0.3">
      <c r="E94" s="64"/>
    </row>
    <row r="95" spans="5:5" s="62" customFormat="1" x14ac:dyDescent="0.3">
      <c r="E95" s="64"/>
    </row>
    <row r="96" spans="5:5" s="62" customFormat="1" x14ac:dyDescent="0.3">
      <c r="E96" s="64"/>
    </row>
    <row r="97" spans="5:5" s="62" customFormat="1" x14ac:dyDescent="0.3">
      <c r="E97" s="64"/>
    </row>
    <row r="98" spans="5:5" s="62" customFormat="1" x14ac:dyDescent="0.3">
      <c r="E98" s="64"/>
    </row>
    <row r="99" spans="5:5" s="62" customFormat="1" x14ac:dyDescent="0.3">
      <c r="E99" s="64"/>
    </row>
    <row r="100" spans="5:5" s="62" customFormat="1" x14ac:dyDescent="0.3">
      <c r="E100" s="64"/>
    </row>
    <row r="101" spans="5:5" s="62" customFormat="1" x14ac:dyDescent="0.3">
      <c r="E101" s="64"/>
    </row>
    <row r="102" spans="5:5" s="62" customFormat="1" x14ac:dyDescent="0.3">
      <c r="E102" s="64"/>
    </row>
    <row r="103" spans="5:5" s="62" customFormat="1" x14ac:dyDescent="0.3">
      <c r="E103" s="64"/>
    </row>
    <row r="104" spans="5:5" s="62" customFormat="1" x14ac:dyDescent="0.3">
      <c r="E104" s="64"/>
    </row>
    <row r="105" spans="5:5" s="62" customFormat="1" x14ac:dyDescent="0.3">
      <c r="E105" s="64"/>
    </row>
    <row r="106" spans="5:5" s="62" customFormat="1" x14ac:dyDescent="0.3">
      <c r="E106" s="64"/>
    </row>
    <row r="107" spans="5:5" s="62" customFormat="1" x14ac:dyDescent="0.3">
      <c r="E107" s="64"/>
    </row>
    <row r="108" spans="5:5" s="62" customFormat="1" x14ac:dyDescent="0.3">
      <c r="E108" s="64"/>
    </row>
    <row r="109" spans="5:5" s="62" customFormat="1" x14ac:dyDescent="0.3">
      <c r="E109" s="64"/>
    </row>
    <row r="110" spans="5:5" s="62" customFormat="1" x14ac:dyDescent="0.3">
      <c r="E110" s="64"/>
    </row>
    <row r="111" spans="5:5" s="62" customFormat="1" x14ac:dyDescent="0.3">
      <c r="E111" s="64"/>
    </row>
    <row r="112" spans="5:5" s="62" customFormat="1" x14ac:dyDescent="0.3">
      <c r="E112" s="64"/>
    </row>
    <row r="113" spans="5:5" s="62" customFormat="1" x14ac:dyDescent="0.3">
      <c r="E113" s="64"/>
    </row>
    <row r="114" spans="5:5" s="62" customFormat="1" x14ac:dyDescent="0.3">
      <c r="E114" s="64"/>
    </row>
    <row r="115" spans="5:5" s="62" customFormat="1" x14ac:dyDescent="0.3">
      <c r="E115" s="64"/>
    </row>
    <row r="116" spans="5:5" s="62" customFormat="1" x14ac:dyDescent="0.3">
      <c r="E116" s="64"/>
    </row>
    <row r="117" spans="5:5" s="62" customFormat="1" x14ac:dyDescent="0.3">
      <c r="E117" s="64"/>
    </row>
    <row r="118" spans="5:5" s="62" customFormat="1" x14ac:dyDescent="0.3">
      <c r="E118" s="64"/>
    </row>
    <row r="119" spans="5:5" s="62" customFormat="1" x14ac:dyDescent="0.3">
      <c r="E119" s="64"/>
    </row>
    <row r="120" spans="5:5" s="62" customFormat="1" x14ac:dyDescent="0.3">
      <c r="E120" s="64"/>
    </row>
    <row r="121" spans="5:5" s="62" customFormat="1" x14ac:dyDescent="0.3">
      <c r="E121" s="64"/>
    </row>
    <row r="122" spans="5:5" s="62" customFormat="1" x14ac:dyDescent="0.3">
      <c r="E122" s="64"/>
    </row>
    <row r="123" spans="5:5" s="62" customFormat="1" x14ac:dyDescent="0.3">
      <c r="E123" s="64"/>
    </row>
    <row r="124" spans="5:5" s="62" customFormat="1" x14ac:dyDescent="0.3">
      <c r="E124" s="64"/>
    </row>
    <row r="125" spans="5:5" s="62" customFormat="1" x14ac:dyDescent="0.3">
      <c r="E125" s="64"/>
    </row>
    <row r="126" spans="5:5" s="62" customFormat="1" x14ac:dyDescent="0.3">
      <c r="E126" s="64"/>
    </row>
    <row r="127" spans="5:5" s="62" customFormat="1" x14ac:dyDescent="0.3">
      <c r="E127" s="64"/>
    </row>
    <row r="128" spans="5:5" s="62" customFormat="1" x14ac:dyDescent="0.3">
      <c r="E128" s="64"/>
    </row>
    <row r="129" spans="5:5" s="62" customFormat="1" x14ac:dyDescent="0.3">
      <c r="E129" s="64"/>
    </row>
    <row r="130" spans="5:5" s="62" customFormat="1" x14ac:dyDescent="0.3">
      <c r="E130" s="64"/>
    </row>
    <row r="131" spans="5:5" s="62" customFormat="1" x14ac:dyDescent="0.3">
      <c r="E131" s="64"/>
    </row>
    <row r="132" spans="5:5" s="62" customFormat="1" x14ac:dyDescent="0.3">
      <c r="E132" s="64"/>
    </row>
    <row r="133" spans="5:5" s="62" customFormat="1" x14ac:dyDescent="0.3">
      <c r="E133" s="64"/>
    </row>
    <row r="134" spans="5:5" s="62" customFormat="1" x14ac:dyDescent="0.3">
      <c r="E134" s="64"/>
    </row>
    <row r="135" spans="5:5" s="62" customFormat="1" x14ac:dyDescent="0.3">
      <c r="E135" s="64"/>
    </row>
    <row r="136" spans="5:5" s="62" customFormat="1" x14ac:dyDescent="0.3">
      <c r="E136" s="64"/>
    </row>
    <row r="137" spans="5:5" s="62" customFormat="1" x14ac:dyDescent="0.3">
      <c r="E137" s="64"/>
    </row>
    <row r="138" spans="5:5" s="62" customFormat="1" x14ac:dyDescent="0.3">
      <c r="E138" s="64"/>
    </row>
    <row r="139" spans="5:5" s="62" customFormat="1" x14ac:dyDescent="0.3">
      <c r="E139" s="64"/>
    </row>
    <row r="140" spans="5:5" s="62" customFormat="1" x14ac:dyDescent="0.3">
      <c r="E140" s="64"/>
    </row>
    <row r="141" spans="5:5" s="62" customFormat="1" x14ac:dyDescent="0.3">
      <c r="E141" s="64"/>
    </row>
    <row r="142" spans="5:5" s="62" customFormat="1" x14ac:dyDescent="0.3">
      <c r="E142" s="64"/>
    </row>
    <row r="143" spans="5:5" s="62" customFormat="1" x14ac:dyDescent="0.3">
      <c r="E143" s="64"/>
    </row>
    <row r="144" spans="5:5" s="62" customFormat="1" x14ac:dyDescent="0.3">
      <c r="E144" s="64"/>
    </row>
    <row r="145" spans="5:5" s="62" customFormat="1" x14ac:dyDescent="0.3">
      <c r="E145" s="64"/>
    </row>
  </sheetData>
  <sheetProtection algorithmName="SHA-512" hashValue="0K6oQD09DRDeG4XaKFn/dLw8O8KQHEYiUYa4rfGpzQzxiyrTuT4GQhDQzCfswbIUPP2743AZHuw9c6gNbUj+HQ==" saltValue="1ej8Gi8urorCuz/dYYzMOg==" spinCount="100000" sheet="1" objects="1" scenarios="1"/>
  <protectedRanges>
    <protectedRange algorithmName="SHA-512" hashValue="OeSjxgGto3zK3QbU5ksZqHvn6fqYxTT44R18ql2WoUc1CBS8CBEfhn/jZeCOdniKmHQhGPlHcu52lpyClVWOWw==" saltValue="WcIfFba5Ng6PG33/Zyt7MA==" spinCount="100000" sqref="A1:XFD1048576" name="Plage1"/>
  </protectedRanges>
  <mergeCells count="9">
    <mergeCell ref="B11:C11"/>
    <mergeCell ref="B20:C20"/>
    <mergeCell ref="B36:C36"/>
    <mergeCell ref="B40:F40"/>
    <mergeCell ref="B39:F39"/>
    <mergeCell ref="B30:D30"/>
    <mergeCell ref="B29:D29"/>
    <mergeCell ref="B31:D31"/>
    <mergeCell ref="B32:D32"/>
  </mergeCells>
  <pageMargins left="0.78740157499999996" right="0.78740157499999996" top="0.984251969" bottom="0.984251969" header="0.5" footer="0.5"/>
  <pageSetup scale="74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  <pageSetUpPr fitToPage="1"/>
  </sheetPr>
  <dimension ref="A1:U177"/>
  <sheetViews>
    <sheetView showGridLines="0" topLeftCell="A107" workbookViewId="0">
      <selection activeCell="J216" sqref="A1:XFD1048576"/>
    </sheetView>
  </sheetViews>
  <sheetFormatPr baseColWidth="10" defaultColWidth="9.296875" defaultRowHeight="13" x14ac:dyDescent="0.3"/>
  <cols>
    <col min="1" max="1" width="27.296875" style="77" customWidth="1"/>
    <col min="2" max="2" width="22" style="77" customWidth="1"/>
    <col min="3" max="3" width="19.296875" style="77" customWidth="1"/>
    <col min="4" max="4" width="20.796875" style="77" customWidth="1"/>
    <col min="5" max="5" width="29.296875" style="77" customWidth="1"/>
    <col min="6" max="6" width="9.296875" style="77" customWidth="1"/>
    <col min="7" max="7" width="23.296875" style="77" customWidth="1"/>
    <col min="8" max="21" width="9.296875" style="76" customWidth="1"/>
    <col min="22" max="16384" width="9.296875" style="77"/>
  </cols>
  <sheetData>
    <row r="1" spans="1:16" s="195" customFormat="1" ht="24" customHeight="1" x14ac:dyDescent="0.3">
      <c r="A1" s="195" t="s">
        <v>456</v>
      </c>
    </row>
    <row r="2" spans="1:16" s="197" customFormat="1" ht="28" customHeight="1" x14ac:dyDescent="0.3">
      <c r="A2" s="772" t="s">
        <v>500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</row>
    <row r="3" spans="1:16" x14ac:dyDescent="0.3">
      <c r="A3" s="76"/>
    </row>
    <row r="4" spans="1:16" ht="44.25" customHeight="1" x14ac:dyDescent="0.3">
      <c r="A4" s="78" t="s">
        <v>90</v>
      </c>
      <c r="B4" s="78" t="s">
        <v>471</v>
      </c>
      <c r="C4" s="78" t="s">
        <v>472</v>
      </c>
      <c r="D4" s="78" t="s">
        <v>473</v>
      </c>
      <c r="E4" s="78" t="s">
        <v>474</v>
      </c>
      <c r="F4" s="79"/>
      <c r="G4" s="79"/>
    </row>
    <row r="5" spans="1:16" ht="15" x14ac:dyDescent="0.4">
      <c r="A5" s="81" t="s">
        <v>475</v>
      </c>
      <c r="B5" s="82"/>
      <c r="C5" s="82"/>
      <c r="D5" s="82"/>
      <c r="E5" s="83"/>
    </row>
    <row r="6" spans="1:16" x14ac:dyDescent="0.3">
      <c r="A6" s="764">
        <v>2010</v>
      </c>
      <c r="B6" s="765">
        <f>'Matières résiduelles - DMS'!F112</f>
        <v>1673.0878633039833</v>
      </c>
      <c r="C6" s="765">
        <f>'Matières résiduelles - DMS'!E112</f>
        <v>609.77798971588027</v>
      </c>
      <c r="D6" s="766" t="s">
        <v>178</v>
      </c>
      <c r="E6" s="80">
        <f>C6*PRP!K5</f>
        <v>15244.449742897006</v>
      </c>
    </row>
    <row r="7" spans="1:16" x14ac:dyDescent="0.3">
      <c r="A7" s="764">
        <v>2017</v>
      </c>
      <c r="B7" s="765">
        <f>'Matières résiduelles - DMS'!F119</f>
        <v>1580.8630609926242</v>
      </c>
      <c r="C7" s="765">
        <f>'Matières résiduelles - DMS'!E119</f>
        <v>576.16549643993847</v>
      </c>
      <c r="D7" s="766" t="s">
        <v>178</v>
      </c>
      <c r="E7" s="80">
        <f>C7*PRP!K5</f>
        <v>14404.137410998461</v>
      </c>
    </row>
    <row r="8" spans="1:16" x14ac:dyDescent="0.3">
      <c r="C8" s="84"/>
      <c r="E8" s="85"/>
      <c r="F8" s="84"/>
    </row>
    <row r="12" spans="1:16" s="770" customFormat="1" ht="18" customHeight="1" x14ac:dyDescent="0.3">
      <c r="A12" s="771" t="s">
        <v>905</v>
      </c>
    </row>
    <row r="13" spans="1:16" x14ac:dyDescent="0.3">
      <c r="A13" s="358"/>
      <c r="B13" s="358"/>
      <c r="C13" s="358"/>
      <c r="D13" s="358"/>
      <c r="E13" s="358"/>
      <c r="F13" s="358"/>
      <c r="G13" s="358"/>
      <c r="H13" s="358"/>
      <c r="I13" s="358"/>
    </row>
    <row r="14" spans="1:16" ht="26" x14ac:dyDescent="0.3">
      <c r="A14" s="916" t="s">
        <v>90</v>
      </c>
      <c r="B14" s="363" t="s">
        <v>179</v>
      </c>
      <c r="C14" s="363" t="s">
        <v>180</v>
      </c>
      <c r="D14" s="915" t="s">
        <v>181</v>
      </c>
      <c r="E14" s="6"/>
      <c r="F14" s="6"/>
      <c r="G14" s="86"/>
      <c r="H14" s="86"/>
      <c r="I14" s="86"/>
    </row>
    <row r="15" spans="1:16" ht="15" x14ac:dyDescent="0.3">
      <c r="A15" s="916"/>
      <c r="B15" s="916" t="s">
        <v>476</v>
      </c>
      <c r="C15" s="916"/>
      <c r="D15" s="915"/>
      <c r="E15" s="6"/>
      <c r="F15" s="87"/>
      <c r="G15" s="86"/>
      <c r="H15" s="86"/>
      <c r="I15" s="86"/>
    </row>
    <row r="16" spans="1:16" x14ac:dyDescent="0.3">
      <c r="A16" s="7">
        <v>1990</v>
      </c>
      <c r="B16" s="2" t="s">
        <v>182</v>
      </c>
      <c r="C16" s="2" t="s">
        <v>182</v>
      </c>
      <c r="D16" s="2">
        <f>D17-$B$48</f>
        <v>177300</v>
      </c>
      <c r="E16" s="6"/>
      <c r="F16" s="6"/>
      <c r="G16" s="88"/>
      <c r="H16" s="88"/>
      <c r="I16" s="88"/>
    </row>
    <row r="17" spans="1:9" x14ac:dyDescent="0.3">
      <c r="A17" s="7">
        <v>1991</v>
      </c>
      <c r="B17" s="2" t="s">
        <v>182</v>
      </c>
      <c r="C17" s="2" t="s">
        <v>182</v>
      </c>
      <c r="D17" s="2">
        <f>D18-$B$48</f>
        <v>171900</v>
      </c>
      <c r="E17" s="6"/>
      <c r="F17" s="6"/>
      <c r="G17" s="88"/>
      <c r="H17" s="88"/>
      <c r="I17" s="88"/>
    </row>
    <row r="18" spans="1:9" x14ac:dyDescent="0.3">
      <c r="A18" s="7">
        <v>1992</v>
      </c>
      <c r="B18" s="2" t="s">
        <v>182</v>
      </c>
      <c r="C18" s="2" t="s">
        <v>182</v>
      </c>
      <c r="D18" s="2">
        <v>166500</v>
      </c>
      <c r="E18" s="87"/>
      <c r="F18" s="87"/>
      <c r="G18" s="88"/>
      <c r="H18" s="88"/>
      <c r="I18" s="88"/>
    </row>
    <row r="19" spans="1:9" x14ac:dyDescent="0.3">
      <c r="A19" s="7">
        <v>1993</v>
      </c>
      <c r="B19" s="2" t="s">
        <v>182</v>
      </c>
      <c r="C19" s="2" t="s">
        <v>182</v>
      </c>
      <c r="D19" s="2">
        <v>161100</v>
      </c>
      <c r="E19" s="87"/>
      <c r="F19" s="89"/>
      <c r="G19" s="88"/>
      <c r="H19" s="88"/>
      <c r="I19" s="88"/>
    </row>
    <row r="20" spans="1:9" x14ac:dyDescent="0.3">
      <c r="A20" s="7">
        <v>1994</v>
      </c>
      <c r="B20" s="2" t="s">
        <v>182</v>
      </c>
      <c r="C20" s="2" t="s">
        <v>182</v>
      </c>
      <c r="D20" s="2">
        <v>155700</v>
      </c>
      <c r="E20" s="87"/>
      <c r="F20" s="87"/>
      <c r="G20" s="88"/>
      <c r="H20" s="88"/>
      <c r="I20" s="88"/>
    </row>
    <row r="21" spans="1:9" x14ac:dyDescent="0.3">
      <c r="A21" s="7">
        <v>1995</v>
      </c>
      <c r="B21" s="2" t="s">
        <v>182</v>
      </c>
      <c r="C21" s="2" t="s">
        <v>182</v>
      </c>
      <c r="D21" s="2">
        <v>150300</v>
      </c>
      <c r="E21" s="87"/>
      <c r="F21" s="87"/>
      <c r="G21" s="88"/>
      <c r="H21" s="88"/>
      <c r="I21" s="88"/>
    </row>
    <row r="22" spans="1:9" x14ac:dyDescent="0.3">
      <c r="A22" s="7">
        <v>1996</v>
      </c>
      <c r="B22" s="2" t="s">
        <v>182</v>
      </c>
      <c r="C22" s="2" t="s">
        <v>182</v>
      </c>
      <c r="D22" s="2">
        <v>144900</v>
      </c>
      <c r="E22" s="87"/>
      <c r="F22" s="87"/>
      <c r="G22" s="88"/>
      <c r="H22" s="88"/>
      <c r="I22" s="88"/>
    </row>
    <row r="23" spans="1:9" x14ac:dyDescent="0.3">
      <c r="A23" s="7">
        <v>1997</v>
      </c>
      <c r="B23" s="2" t="s">
        <v>182</v>
      </c>
      <c r="C23" s="2" t="s">
        <v>182</v>
      </c>
      <c r="D23" s="2">
        <v>139500</v>
      </c>
      <c r="E23" s="87"/>
      <c r="F23" s="87"/>
      <c r="G23" s="88"/>
      <c r="H23" s="88"/>
      <c r="I23" s="88"/>
    </row>
    <row r="24" spans="1:9" x14ac:dyDescent="0.3">
      <c r="A24" s="7">
        <v>1998</v>
      </c>
      <c r="B24" s="2" t="s">
        <v>182</v>
      </c>
      <c r="C24" s="2" t="s">
        <v>182</v>
      </c>
      <c r="D24" s="2">
        <v>134100</v>
      </c>
      <c r="E24" s="87"/>
      <c r="F24" s="87"/>
      <c r="G24" s="88"/>
      <c r="H24" s="88"/>
      <c r="I24" s="88"/>
    </row>
    <row r="25" spans="1:9" x14ac:dyDescent="0.3">
      <c r="A25" s="7">
        <v>1999</v>
      </c>
      <c r="B25" s="2" t="s">
        <v>182</v>
      </c>
      <c r="C25" s="2" t="s">
        <v>182</v>
      </c>
      <c r="D25" s="2">
        <v>128700</v>
      </c>
      <c r="E25" s="87"/>
      <c r="F25" s="87"/>
      <c r="G25" s="88"/>
      <c r="H25" s="88"/>
      <c r="I25" s="88"/>
    </row>
    <row r="26" spans="1:9" x14ac:dyDescent="0.3">
      <c r="A26" s="7">
        <v>2000</v>
      </c>
      <c r="B26" s="2" t="s">
        <v>182</v>
      </c>
      <c r="C26" s="2" t="s">
        <v>182</v>
      </c>
      <c r="D26" s="2">
        <v>123300</v>
      </c>
      <c r="E26" s="87"/>
      <c r="F26" s="87"/>
      <c r="G26" s="88"/>
      <c r="H26" s="88"/>
      <c r="I26" s="88"/>
    </row>
    <row r="27" spans="1:9" x14ac:dyDescent="0.3">
      <c r="A27" s="7">
        <v>2001</v>
      </c>
      <c r="B27" s="2" t="s">
        <v>182</v>
      </c>
      <c r="C27" s="2" t="s">
        <v>182</v>
      </c>
      <c r="D27" s="2">
        <v>117900</v>
      </c>
      <c r="E27" s="87"/>
      <c r="F27" s="87"/>
      <c r="G27" s="88"/>
      <c r="H27" s="88"/>
      <c r="I27" s="88"/>
    </row>
    <row r="28" spans="1:9" x14ac:dyDescent="0.3">
      <c r="A28" s="7">
        <v>2002</v>
      </c>
      <c r="B28" s="2" t="s">
        <v>182</v>
      </c>
      <c r="C28" s="2" t="s">
        <v>182</v>
      </c>
      <c r="D28" s="767">
        <v>112500</v>
      </c>
      <c r="E28" s="87"/>
      <c r="F28" s="87"/>
      <c r="G28" s="88"/>
      <c r="H28" s="88"/>
      <c r="I28" s="88"/>
    </row>
    <row r="29" spans="1:9" x14ac:dyDescent="0.3">
      <c r="A29" s="7">
        <v>2003</v>
      </c>
      <c r="B29" s="2" t="s">
        <v>182</v>
      </c>
      <c r="C29" s="2" t="s">
        <v>182</v>
      </c>
      <c r="D29" s="2">
        <f>D28+$B$49</f>
        <v>104155.83333333333</v>
      </c>
      <c r="E29" s="6"/>
      <c r="F29" s="87"/>
      <c r="G29" s="88"/>
      <c r="H29" s="88"/>
      <c r="I29" s="88"/>
    </row>
    <row r="30" spans="1:9" x14ac:dyDescent="0.3">
      <c r="A30" s="7">
        <v>2004</v>
      </c>
      <c r="B30" s="2" t="s">
        <v>182</v>
      </c>
      <c r="C30" s="2" t="s">
        <v>182</v>
      </c>
      <c r="D30" s="2">
        <f>D29+$B$49</f>
        <v>95811.666666666657</v>
      </c>
      <c r="E30" s="6"/>
      <c r="F30" s="87"/>
      <c r="G30" s="88"/>
      <c r="H30" s="88"/>
      <c r="I30" s="88"/>
    </row>
    <row r="31" spans="1:9" x14ac:dyDescent="0.3">
      <c r="A31" s="7">
        <v>2005</v>
      </c>
      <c r="B31" s="2" t="s">
        <v>182</v>
      </c>
      <c r="C31" s="2" t="s">
        <v>182</v>
      </c>
      <c r="D31" s="2">
        <f>D30+$B$49</f>
        <v>87467.499999999985</v>
      </c>
      <c r="E31" s="6"/>
      <c r="F31" s="87"/>
      <c r="G31" s="88"/>
      <c r="H31" s="88"/>
      <c r="I31" s="88"/>
    </row>
    <row r="32" spans="1:9" x14ac:dyDescent="0.3">
      <c r="A32" s="7">
        <v>2006</v>
      </c>
      <c r="B32" s="2" t="s">
        <v>182</v>
      </c>
      <c r="C32" s="2" t="s">
        <v>182</v>
      </c>
      <c r="D32" s="2">
        <f>D31+$B$49</f>
        <v>79123.333333333314</v>
      </c>
      <c r="E32" s="6"/>
      <c r="F32" s="87"/>
      <c r="G32" s="88"/>
      <c r="H32" s="88"/>
      <c r="I32" s="88"/>
    </row>
    <row r="33" spans="1:9" x14ac:dyDescent="0.3">
      <c r="A33" s="7">
        <v>2007</v>
      </c>
      <c r="B33" s="2" t="s">
        <v>182</v>
      </c>
      <c r="C33" s="2" t="s">
        <v>182</v>
      </c>
      <c r="D33" s="2">
        <f>D32+$B$49</f>
        <v>70779.166666666642</v>
      </c>
      <c r="E33" s="6"/>
      <c r="F33" s="6"/>
      <c r="G33" s="88"/>
      <c r="H33" s="88"/>
      <c r="I33" s="88"/>
    </row>
    <row r="34" spans="1:9" x14ac:dyDescent="0.3">
      <c r="A34" s="7">
        <v>2008</v>
      </c>
      <c r="B34" s="2" t="s">
        <v>182</v>
      </c>
      <c r="C34" s="2" t="s">
        <v>182</v>
      </c>
      <c r="D34" s="767">
        <v>62435</v>
      </c>
      <c r="E34" s="6"/>
      <c r="F34" s="6"/>
      <c r="G34" s="88"/>
      <c r="H34" s="88"/>
      <c r="I34" s="88"/>
    </row>
    <row r="35" spans="1:9" x14ac:dyDescent="0.3">
      <c r="A35" s="7">
        <v>2009</v>
      </c>
      <c r="B35" s="2" t="s">
        <v>183</v>
      </c>
      <c r="C35" s="2" t="s">
        <v>183</v>
      </c>
      <c r="D35" s="2">
        <v>0</v>
      </c>
      <c r="E35" s="6"/>
      <c r="F35" s="6"/>
      <c r="G35" s="88"/>
      <c r="H35" s="88"/>
      <c r="I35" s="88"/>
    </row>
    <row r="36" spans="1:9" x14ac:dyDescent="0.3">
      <c r="A36" s="7">
        <v>2010</v>
      </c>
      <c r="B36" s="2" t="s">
        <v>183</v>
      </c>
      <c r="C36" s="2" t="s">
        <v>183</v>
      </c>
      <c r="D36" s="2">
        <v>0</v>
      </c>
      <c r="E36" s="6"/>
      <c r="F36" s="6"/>
      <c r="G36" s="88"/>
      <c r="H36" s="88"/>
      <c r="I36" s="88"/>
    </row>
    <row r="37" spans="1:9" x14ac:dyDescent="0.3">
      <c r="A37" s="7">
        <v>2011</v>
      </c>
      <c r="B37" s="2" t="s">
        <v>183</v>
      </c>
      <c r="C37" s="2" t="s">
        <v>183</v>
      </c>
      <c r="D37" s="2">
        <v>0</v>
      </c>
      <c r="E37" s="6"/>
      <c r="F37" s="6"/>
      <c r="G37" s="88"/>
      <c r="H37" s="88"/>
      <c r="I37" s="88"/>
    </row>
    <row r="38" spans="1:9" x14ac:dyDescent="0.3">
      <c r="A38" s="7">
        <v>2012</v>
      </c>
      <c r="B38" s="2" t="s">
        <v>183</v>
      </c>
      <c r="C38" s="2" t="s">
        <v>183</v>
      </c>
      <c r="D38" s="2">
        <v>0</v>
      </c>
      <c r="E38" s="6"/>
      <c r="F38" s="6"/>
      <c r="G38" s="88"/>
      <c r="H38" s="88"/>
      <c r="I38" s="88"/>
    </row>
    <row r="39" spans="1:9" x14ac:dyDescent="0.3">
      <c r="A39" s="7">
        <v>2013</v>
      </c>
      <c r="B39" s="2" t="s">
        <v>183</v>
      </c>
      <c r="C39" s="2" t="s">
        <v>183</v>
      </c>
      <c r="D39" s="2">
        <v>0</v>
      </c>
      <c r="E39" s="6"/>
      <c r="F39" s="6"/>
      <c r="G39" s="88"/>
      <c r="H39" s="88"/>
      <c r="I39" s="88"/>
    </row>
    <row r="40" spans="1:9" x14ac:dyDescent="0.3">
      <c r="A40" s="7">
        <v>2014</v>
      </c>
      <c r="B40" s="2" t="s">
        <v>183</v>
      </c>
      <c r="C40" s="2" t="s">
        <v>183</v>
      </c>
      <c r="D40" s="2">
        <v>0</v>
      </c>
      <c r="E40" s="6"/>
      <c r="F40" s="6"/>
      <c r="G40" s="88"/>
      <c r="H40" s="88"/>
      <c r="I40" s="88"/>
    </row>
    <row r="41" spans="1:9" x14ac:dyDescent="0.3">
      <c r="A41" s="7">
        <v>2015</v>
      </c>
      <c r="B41" s="2" t="s">
        <v>183</v>
      </c>
      <c r="C41" s="2" t="s">
        <v>183</v>
      </c>
      <c r="D41" s="2">
        <v>0</v>
      </c>
      <c r="E41" s="6"/>
      <c r="F41" s="6"/>
      <c r="G41" s="88"/>
      <c r="H41" s="88"/>
      <c r="I41" s="88"/>
    </row>
    <row r="42" spans="1:9" x14ac:dyDescent="0.3">
      <c r="A42" s="7">
        <v>2016</v>
      </c>
      <c r="B42" s="2" t="s">
        <v>183</v>
      </c>
      <c r="C42" s="2" t="s">
        <v>183</v>
      </c>
      <c r="D42" s="2">
        <v>0</v>
      </c>
      <c r="E42" s="6"/>
      <c r="F42" s="6"/>
      <c r="G42" s="88"/>
      <c r="H42" s="88"/>
      <c r="I42" s="88"/>
    </row>
    <row r="43" spans="1:9" x14ac:dyDescent="0.3">
      <c r="A43" s="7">
        <v>2017</v>
      </c>
      <c r="B43" s="2" t="s">
        <v>183</v>
      </c>
      <c r="C43" s="2" t="s">
        <v>183</v>
      </c>
      <c r="D43" s="2">
        <v>0</v>
      </c>
      <c r="E43" s="6"/>
      <c r="F43" s="6"/>
      <c r="G43" s="88"/>
      <c r="H43" s="88"/>
      <c r="I43" s="88"/>
    </row>
    <row r="44" spans="1:9" x14ac:dyDescent="0.3">
      <c r="A44" s="6"/>
      <c r="B44" s="6"/>
      <c r="C44" s="6"/>
      <c r="D44" s="6"/>
      <c r="E44" s="6"/>
      <c r="F44" s="6"/>
      <c r="G44" s="90"/>
      <c r="H44" s="90"/>
      <c r="I44" s="90"/>
    </row>
    <row r="45" spans="1:9" x14ac:dyDescent="0.3">
      <c r="A45" s="917" t="s">
        <v>184</v>
      </c>
      <c r="B45" s="3" t="s">
        <v>185</v>
      </c>
      <c r="C45" s="4"/>
      <c r="D45" s="6"/>
      <c r="E45" s="6"/>
      <c r="F45" s="6"/>
      <c r="G45" s="90"/>
      <c r="H45" s="90"/>
      <c r="I45" s="90"/>
    </row>
    <row r="46" spans="1:9" x14ac:dyDescent="0.3">
      <c r="A46" s="917"/>
      <c r="B46" s="3" t="s">
        <v>186</v>
      </c>
      <c r="C46" s="4"/>
      <c r="D46" s="6"/>
      <c r="E46" s="6"/>
      <c r="F46" s="6"/>
      <c r="G46" s="90"/>
      <c r="H46" s="90"/>
      <c r="I46" s="90"/>
    </row>
    <row r="47" spans="1:9" x14ac:dyDescent="0.3">
      <c r="A47" s="5"/>
      <c r="B47" s="90"/>
      <c r="C47" s="6"/>
      <c r="D47" s="6"/>
      <c r="E47" s="6"/>
      <c r="F47" s="6"/>
      <c r="G47" s="90"/>
      <c r="H47" s="90"/>
      <c r="I47" s="90"/>
    </row>
    <row r="48" spans="1:9" x14ac:dyDescent="0.3">
      <c r="A48" s="6" t="s">
        <v>187</v>
      </c>
      <c r="B48" s="91">
        <f>(D28-D18)/(A28-A18)</f>
        <v>-5400</v>
      </c>
      <c r="C48" s="6"/>
      <c r="D48" s="6"/>
      <c r="E48" s="6"/>
      <c r="F48" s="6"/>
      <c r="G48" s="6"/>
      <c r="H48" s="6"/>
      <c r="I48" s="6"/>
    </row>
    <row r="49" spans="1:9" x14ac:dyDescent="0.3">
      <c r="A49" s="6" t="s">
        <v>188</v>
      </c>
      <c r="B49" s="92">
        <f>(D34-D28)/6</f>
        <v>-8344.1666666666661</v>
      </c>
      <c r="C49" s="6"/>
      <c r="D49" s="6"/>
      <c r="E49" s="6"/>
      <c r="F49" s="6"/>
      <c r="G49" s="6"/>
      <c r="H49" s="6"/>
      <c r="I49" s="6"/>
    </row>
    <row r="50" spans="1:9" x14ac:dyDescent="0.3">
      <c r="A50" s="6"/>
      <c r="B50" s="6"/>
      <c r="C50" s="6"/>
      <c r="D50" s="6"/>
      <c r="E50" s="6"/>
      <c r="F50" s="6"/>
      <c r="G50" s="6"/>
      <c r="H50" s="6"/>
      <c r="I50" s="6"/>
    </row>
    <row r="51" spans="1:9" s="770" customFormat="1" ht="18" customHeight="1" x14ac:dyDescent="0.3">
      <c r="A51" s="771" t="s">
        <v>906</v>
      </c>
    </row>
    <row r="52" spans="1:9" x14ac:dyDescent="0.3">
      <c r="A52" s="6"/>
      <c r="B52" s="6"/>
      <c r="C52" s="6"/>
      <c r="D52" s="6"/>
      <c r="E52" s="6"/>
      <c r="F52" s="6"/>
      <c r="G52" s="6"/>
      <c r="H52" s="6"/>
      <c r="I52" s="6"/>
    </row>
    <row r="53" spans="1:9" x14ac:dyDescent="0.3">
      <c r="A53" s="915" t="s">
        <v>477</v>
      </c>
      <c r="B53" s="915"/>
      <c r="C53" s="93"/>
      <c r="D53" s="94"/>
      <c r="E53" s="6"/>
      <c r="F53" s="6"/>
      <c r="G53" s="6"/>
      <c r="H53" s="6"/>
      <c r="I53" s="6"/>
    </row>
    <row r="54" spans="1:9" ht="15.5" x14ac:dyDescent="0.3">
      <c r="A54" s="7" t="s">
        <v>189</v>
      </c>
      <c r="B54" s="95">
        <f>SUM(G60:G71)</f>
        <v>8.1300000000000001E-3</v>
      </c>
      <c r="C54" s="6"/>
      <c r="D54" s="10"/>
      <c r="E54" s="6"/>
      <c r="F54" s="6"/>
      <c r="G54" s="6"/>
      <c r="H54" s="6"/>
      <c r="I54" s="6"/>
    </row>
    <row r="55" spans="1:9" ht="15.5" x14ac:dyDescent="0.3">
      <c r="A55" s="7" t="s">
        <v>190</v>
      </c>
      <c r="B55" s="96">
        <f>SUM(F60:F71)/0.667</f>
        <v>52.078960519740122</v>
      </c>
      <c r="C55" s="6"/>
      <c r="D55" s="6"/>
      <c r="E55" s="6"/>
      <c r="F55" s="6"/>
      <c r="G55" s="6"/>
      <c r="H55" s="6"/>
      <c r="I55" s="6"/>
    </row>
    <row r="56" spans="1:9" x14ac:dyDescent="0.3">
      <c r="A56" s="97" t="s">
        <v>478</v>
      </c>
      <c r="B56" s="6"/>
      <c r="C56" s="6"/>
      <c r="D56" s="6"/>
      <c r="E56" s="6"/>
      <c r="F56" s="6"/>
      <c r="G56" s="6"/>
      <c r="H56" s="6"/>
      <c r="I56" s="6"/>
    </row>
    <row r="57" spans="1:9" x14ac:dyDescent="0.3">
      <c r="A57" s="6"/>
      <c r="B57" s="6"/>
      <c r="C57" s="6"/>
      <c r="D57" s="6"/>
      <c r="E57" s="6"/>
      <c r="F57" s="6"/>
      <c r="G57" s="6"/>
      <c r="H57" s="6"/>
      <c r="I57" s="6"/>
    </row>
    <row r="58" spans="1:9" x14ac:dyDescent="0.3">
      <c r="A58" s="6"/>
      <c r="B58" s="6"/>
      <c r="C58" s="6"/>
      <c r="D58" s="6"/>
      <c r="E58" s="6"/>
      <c r="F58" s="6"/>
      <c r="G58" s="6"/>
      <c r="H58" s="6"/>
      <c r="I58" s="6"/>
    </row>
    <row r="59" spans="1:9" ht="93" x14ac:dyDescent="0.3">
      <c r="A59" s="361" t="s">
        <v>191</v>
      </c>
      <c r="B59" s="361" t="s">
        <v>600</v>
      </c>
      <c r="C59" s="361" t="s">
        <v>601</v>
      </c>
      <c r="D59" s="361" t="s">
        <v>602</v>
      </c>
      <c r="E59" s="361" t="s">
        <v>603</v>
      </c>
      <c r="F59" s="361" t="s">
        <v>604</v>
      </c>
      <c r="G59" s="361" t="s">
        <v>605</v>
      </c>
      <c r="H59" s="358"/>
      <c r="I59" s="358"/>
    </row>
    <row r="60" spans="1:9" x14ac:dyDescent="0.3">
      <c r="A60" s="359" t="s">
        <v>192</v>
      </c>
      <c r="B60" s="98">
        <f>34%</f>
        <v>0.34</v>
      </c>
      <c r="C60" s="99">
        <f>0%</f>
        <v>0</v>
      </c>
      <c r="D60" s="100">
        <f>C60*$C$82*$C$85*16/12*1000</f>
        <v>0</v>
      </c>
      <c r="E60" s="101">
        <v>0</v>
      </c>
      <c r="F60" s="101">
        <f t="shared" ref="F60:F71" si="0">B60*D60</f>
        <v>0</v>
      </c>
      <c r="G60" s="95">
        <f t="shared" ref="G60:G71" si="1">B60*E60</f>
        <v>0</v>
      </c>
      <c r="H60" s="358"/>
      <c r="I60" s="358"/>
    </row>
    <row r="61" spans="1:9" x14ac:dyDescent="0.3">
      <c r="A61" s="360" t="s">
        <v>193</v>
      </c>
      <c r="B61" s="98">
        <f>2.9%</f>
        <v>2.8999999999999998E-2</v>
      </c>
      <c r="C61" s="99">
        <v>0</v>
      </c>
      <c r="D61" s="100">
        <f>C61*$C$82*$C$85*16/12*1000</f>
        <v>0</v>
      </c>
      <c r="E61" s="101">
        <v>0</v>
      </c>
      <c r="F61" s="101">
        <f t="shared" si="0"/>
        <v>0</v>
      </c>
      <c r="G61" s="95">
        <f t="shared" si="1"/>
        <v>0</v>
      </c>
      <c r="H61" s="358"/>
      <c r="I61" s="358"/>
    </row>
    <row r="62" spans="1:9" x14ac:dyDescent="0.3">
      <c r="A62" s="360" t="s">
        <v>194</v>
      </c>
      <c r="B62" s="98">
        <f>16.4%</f>
        <v>0.16399999999999998</v>
      </c>
      <c r="C62" s="99">
        <f>0%</f>
        <v>0</v>
      </c>
      <c r="D62" s="100">
        <f>C62*$C$82*$C$85*16/12*1000</f>
        <v>0</v>
      </c>
      <c r="E62" s="101">
        <v>0</v>
      </c>
      <c r="F62" s="101">
        <f t="shared" si="0"/>
        <v>0</v>
      </c>
      <c r="G62" s="95">
        <f t="shared" si="1"/>
        <v>0</v>
      </c>
      <c r="H62" s="358"/>
      <c r="I62" s="358"/>
    </row>
    <row r="63" spans="1:9" x14ac:dyDescent="0.3">
      <c r="A63" s="360" t="s">
        <v>195</v>
      </c>
      <c r="B63" s="98">
        <f>21.5%</f>
        <v>0.215</v>
      </c>
      <c r="C63" s="99">
        <v>0.43</v>
      </c>
      <c r="D63" s="100">
        <f>C63*$C$82*$C$85*16/12*$C$84*1000</f>
        <v>143.33333333333334</v>
      </c>
      <c r="E63" s="101">
        <v>0.03</v>
      </c>
      <c r="F63" s="101">
        <f t="shared" si="0"/>
        <v>30.81666666666667</v>
      </c>
      <c r="G63" s="95">
        <f t="shared" si="1"/>
        <v>6.45E-3</v>
      </c>
      <c r="H63" s="358"/>
      <c r="I63" s="358"/>
    </row>
    <row r="64" spans="1:9" x14ac:dyDescent="0.3">
      <c r="A64" s="360" t="s">
        <v>196</v>
      </c>
      <c r="B64" s="98">
        <f>8.4%</f>
        <v>8.4000000000000005E-2</v>
      </c>
      <c r="C64" s="99">
        <v>0</v>
      </c>
      <c r="D64" s="100">
        <f>C64*$C$82*$C$85*16/12*$C$84*1000</f>
        <v>0</v>
      </c>
      <c r="E64" s="101">
        <v>0</v>
      </c>
      <c r="F64" s="101">
        <f t="shared" si="0"/>
        <v>0</v>
      </c>
      <c r="G64" s="95">
        <f t="shared" si="1"/>
        <v>0</v>
      </c>
      <c r="H64" s="358"/>
      <c r="I64" s="358"/>
    </row>
    <row r="65" spans="1:9" x14ac:dyDescent="0.3">
      <c r="A65" s="360" t="s">
        <v>197</v>
      </c>
      <c r="B65" s="98">
        <f>2.1%</f>
        <v>2.1000000000000001E-2</v>
      </c>
      <c r="C65" s="99">
        <v>0.4</v>
      </c>
      <c r="D65" s="100">
        <f>C65*$C$82*$C$85*16/12*$C$84*1000</f>
        <v>133.33333333333334</v>
      </c>
      <c r="E65" s="101">
        <v>0.06</v>
      </c>
      <c r="F65" s="101">
        <f t="shared" si="0"/>
        <v>2.8000000000000003</v>
      </c>
      <c r="G65" s="95">
        <f t="shared" si="1"/>
        <v>1.2600000000000001E-3</v>
      </c>
      <c r="H65" s="358"/>
      <c r="I65" s="358"/>
    </row>
    <row r="66" spans="1:9" x14ac:dyDescent="0.3">
      <c r="A66" s="360" t="s">
        <v>198</v>
      </c>
      <c r="B66" s="98">
        <f>0.6%</f>
        <v>6.0000000000000001E-3</v>
      </c>
      <c r="C66" s="99">
        <v>0</v>
      </c>
      <c r="D66" s="100">
        <f>C66*$C$82*$C$85*16/12*1000</f>
        <v>0</v>
      </c>
      <c r="E66" s="101">
        <v>0</v>
      </c>
      <c r="F66" s="101">
        <f t="shared" si="0"/>
        <v>0</v>
      </c>
      <c r="G66" s="95">
        <f t="shared" si="1"/>
        <v>0</v>
      </c>
      <c r="H66" s="358"/>
      <c r="I66" s="358"/>
    </row>
    <row r="67" spans="1:9" x14ac:dyDescent="0.3">
      <c r="A67" s="360" t="s">
        <v>199</v>
      </c>
      <c r="B67" s="98">
        <f>3%</f>
        <v>0.03</v>
      </c>
      <c r="C67" s="99">
        <v>0</v>
      </c>
      <c r="D67" s="100">
        <f>C67*$C$82*$C$85*16/12*1000</f>
        <v>0</v>
      </c>
      <c r="E67" s="101">
        <v>0</v>
      </c>
      <c r="F67" s="101">
        <f t="shared" si="0"/>
        <v>0</v>
      </c>
      <c r="G67" s="95">
        <f t="shared" si="1"/>
        <v>0</v>
      </c>
      <c r="H67" s="358"/>
      <c r="I67" s="358"/>
    </row>
    <row r="68" spans="1:9" x14ac:dyDescent="0.3">
      <c r="A68" s="360" t="s">
        <v>200</v>
      </c>
      <c r="B68" s="98">
        <f>0.7%</f>
        <v>6.9999999999999993E-3</v>
      </c>
      <c r="C68" s="102">
        <v>0.24</v>
      </c>
      <c r="D68" s="103">
        <f>C68*$C$82*$C$85*16/12*1000</f>
        <v>160</v>
      </c>
      <c r="E68" s="101">
        <v>0.06</v>
      </c>
      <c r="F68" s="104">
        <f t="shared" si="0"/>
        <v>1.1199999999999999</v>
      </c>
      <c r="G68" s="95">
        <f t="shared" si="1"/>
        <v>4.1999999999999996E-4</v>
      </c>
      <c r="H68" s="358"/>
      <c r="I68" s="358"/>
    </row>
    <row r="69" spans="1:9" x14ac:dyDescent="0.3">
      <c r="A69" s="360" t="s">
        <v>201</v>
      </c>
      <c r="B69" s="98">
        <f>1%</f>
        <v>0.01</v>
      </c>
      <c r="C69" s="102">
        <v>0</v>
      </c>
      <c r="D69" s="103">
        <f>C69*$C$82*$C$85*16/12*1000</f>
        <v>0</v>
      </c>
      <c r="E69" s="101">
        <v>0</v>
      </c>
      <c r="F69" s="104">
        <f t="shared" si="0"/>
        <v>0</v>
      </c>
      <c r="G69" s="95">
        <f t="shared" si="1"/>
        <v>0</v>
      </c>
      <c r="H69" s="358"/>
      <c r="I69" s="358"/>
    </row>
    <row r="70" spans="1:9" x14ac:dyDescent="0.3">
      <c r="A70" s="359" t="s">
        <v>202</v>
      </c>
      <c r="B70" s="98">
        <f>4.1%</f>
        <v>4.0999999999999995E-2</v>
      </c>
      <c r="C70" s="102" t="s">
        <v>178</v>
      </c>
      <c r="D70" s="103">
        <v>0</v>
      </c>
      <c r="E70" s="101">
        <v>0</v>
      </c>
      <c r="F70" s="104">
        <f t="shared" si="0"/>
        <v>0</v>
      </c>
      <c r="G70" s="95">
        <f t="shared" si="1"/>
        <v>0</v>
      </c>
      <c r="H70" s="358"/>
      <c r="I70" s="358"/>
    </row>
    <row r="71" spans="1:9" x14ac:dyDescent="0.3">
      <c r="A71" s="359" t="s">
        <v>203</v>
      </c>
      <c r="B71" s="98">
        <f>5.1%</f>
        <v>5.0999999999999997E-2</v>
      </c>
      <c r="C71" s="102" t="s">
        <v>178</v>
      </c>
      <c r="D71" s="103">
        <v>0</v>
      </c>
      <c r="E71" s="101">
        <v>0</v>
      </c>
      <c r="F71" s="104">
        <f t="shared" si="0"/>
        <v>0</v>
      </c>
      <c r="G71" s="95">
        <f t="shared" si="1"/>
        <v>0</v>
      </c>
      <c r="H71" s="358"/>
      <c r="I71" s="358"/>
    </row>
    <row r="72" spans="1:9" x14ac:dyDescent="0.3">
      <c r="A72" s="90"/>
      <c r="B72" s="105"/>
      <c r="C72" s="106"/>
      <c r="D72" s="107"/>
      <c r="E72" s="88"/>
      <c r="F72" s="88"/>
      <c r="G72" s="6"/>
      <c r="H72" s="6"/>
      <c r="I72" s="6"/>
    </row>
    <row r="73" spans="1:9" x14ac:dyDescent="0.3">
      <c r="A73" s="4" t="s">
        <v>204</v>
      </c>
      <c r="B73" s="4"/>
      <c r="C73" s="4"/>
      <c r="D73" s="4"/>
      <c r="E73" s="6"/>
      <c r="F73" s="6"/>
      <c r="G73" s="6"/>
      <c r="H73" s="6"/>
      <c r="I73" s="6"/>
    </row>
    <row r="74" spans="1:9" x14ac:dyDescent="0.3">
      <c r="A74" s="94" t="s">
        <v>205</v>
      </c>
      <c r="B74" s="4"/>
      <c r="C74" s="4"/>
      <c r="D74" s="4"/>
      <c r="E74" s="6"/>
      <c r="F74" s="6"/>
      <c r="G74" s="6"/>
      <c r="H74" s="6"/>
      <c r="I74" s="6"/>
    </row>
    <row r="75" spans="1:9" x14ac:dyDescent="0.3">
      <c r="A75" s="4" t="s">
        <v>387</v>
      </c>
      <c r="B75" s="4"/>
      <c r="C75" s="4"/>
      <c r="D75" s="4"/>
      <c r="E75" s="6"/>
      <c r="F75" s="6"/>
      <c r="G75" s="6"/>
      <c r="H75" s="6"/>
      <c r="I75" s="6"/>
    </row>
    <row r="76" spans="1:9" x14ac:dyDescent="0.3">
      <c r="A76" s="94" t="s">
        <v>386</v>
      </c>
      <c r="B76" s="4"/>
      <c r="C76" s="4"/>
      <c r="D76" s="4"/>
      <c r="E76" s="6"/>
      <c r="F76" s="6"/>
      <c r="G76" s="6"/>
      <c r="H76" s="6"/>
      <c r="I76" s="6"/>
    </row>
    <row r="77" spans="1:9" x14ac:dyDescent="0.3">
      <c r="A77" s="4" t="s">
        <v>388</v>
      </c>
      <c r="B77" s="4"/>
      <c r="C77" s="4"/>
      <c r="D77" s="4"/>
      <c r="E77" s="6"/>
      <c r="F77" s="6"/>
      <c r="G77" s="6"/>
      <c r="H77" s="6"/>
      <c r="I77" s="6"/>
    </row>
    <row r="78" spans="1:9" x14ac:dyDescent="0.3">
      <c r="A78" s="108" t="s">
        <v>206</v>
      </c>
      <c r="B78" s="4"/>
      <c r="C78" s="4"/>
      <c r="D78" s="4"/>
      <c r="E78" s="6"/>
      <c r="F78" s="6"/>
      <c r="G78" s="6"/>
      <c r="H78" s="6"/>
      <c r="I78" s="6"/>
    </row>
    <row r="79" spans="1:9" x14ac:dyDescent="0.3">
      <c r="A79" s="109"/>
      <c r="B79" s="6"/>
      <c r="C79" s="6"/>
      <c r="D79" s="6"/>
      <c r="E79" s="6"/>
      <c r="F79" s="6"/>
      <c r="G79" s="6"/>
      <c r="H79" s="6"/>
      <c r="I79" s="6"/>
    </row>
    <row r="80" spans="1:9" ht="13.5" x14ac:dyDescent="0.35">
      <c r="A80" s="109" t="s">
        <v>479</v>
      </c>
      <c r="B80" s="6"/>
      <c r="C80" s="6"/>
      <c r="D80" s="6"/>
      <c r="E80" s="6"/>
      <c r="F80" s="6"/>
      <c r="G80" s="6"/>
      <c r="H80" s="6"/>
      <c r="I80" s="6"/>
    </row>
    <row r="81" spans="1:9" ht="13.5" x14ac:dyDescent="0.35">
      <c r="A81" s="110" t="s">
        <v>480</v>
      </c>
      <c r="B81" s="111"/>
      <c r="C81" s="111"/>
      <c r="D81" s="111"/>
      <c r="E81" s="111"/>
      <c r="F81" s="109"/>
      <c r="G81" s="6"/>
      <c r="H81" s="6"/>
      <c r="I81" s="6"/>
    </row>
    <row r="82" spans="1:9" x14ac:dyDescent="0.3">
      <c r="A82" s="109"/>
      <c r="B82" s="109" t="s">
        <v>207</v>
      </c>
      <c r="C82" s="112">
        <v>1</v>
      </c>
      <c r="D82" s="109" t="s">
        <v>208</v>
      </c>
      <c r="E82" s="109"/>
      <c r="F82" s="109"/>
      <c r="G82" s="6"/>
      <c r="H82" s="6"/>
      <c r="I82" s="6"/>
    </row>
    <row r="83" spans="1:9" x14ac:dyDescent="0.3">
      <c r="A83" s="109"/>
      <c r="B83" s="109" t="s">
        <v>209</v>
      </c>
      <c r="C83" s="109" t="s">
        <v>210</v>
      </c>
      <c r="D83" s="109"/>
      <c r="E83" s="109"/>
      <c r="F83" s="109"/>
      <c r="G83" s="6"/>
      <c r="H83" s="6"/>
      <c r="I83" s="6"/>
    </row>
    <row r="84" spans="1:9" ht="13.5" x14ac:dyDescent="0.35">
      <c r="A84" s="109"/>
      <c r="B84" s="113" t="s">
        <v>481</v>
      </c>
      <c r="C84" s="114">
        <v>0.5</v>
      </c>
      <c r="D84" s="109" t="s">
        <v>211</v>
      </c>
      <c r="E84" s="109"/>
      <c r="F84" s="109"/>
      <c r="G84" s="6"/>
      <c r="H84" s="6"/>
      <c r="I84" s="6"/>
    </row>
    <row r="85" spans="1:9" x14ac:dyDescent="0.3">
      <c r="A85" s="109"/>
      <c r="B85" s="109" t="s">
        <v>212</v>
      </c>
      <c r="C85" s="112">
        <v>0.5</v>
      </c>
      <c r="D85" s="109" t="s">
        <v>213</v>
      </c>
      <c r="E85" s="109"/>
      <c r="F85" s="109"/>
      <c r="G85" s="6"/>
      <c r="H85" s="6"/>
      <c r="I85" s="6"/>
    </row>
    <row r="86" spans="1:9" x14ac:dyDescent="0.3">
      <c r="A86" s="6"/>
      <c r="B86" s="6"/>
      <c r="C86" s="6"/>
      <c r="D86" s="6"/>
      <c r="E86" s="6"/>
      <c r="F86" s="6"/>
      <c r="G86" s="6"/>
      <c r="H86" s="6"/>
      <c r="I86" s="6"/>
    </row>
    <row r="87" spans="1:9" x14ac:dyDescent="0.3">
      <c r="A87" s="6"/>
      <c r="B87" s="6"/>
      <c r="C87" s="6"/>
      <c r="D87" s="6"/>
      <c r="E87" s="6"/>
      <c r="F87" s="6"/>
      <c r="G87" s="6"/>
      <c r="H87" s="6"/>
      <c r="I87" s="6"/>
    </row>
    <row r="88" spans="1:9" s="770" customFormat="1" ht="18" customHeight="1" x14ac:dyDescent="0.3">
      <c r="A88" s="771" t="s">
        <v>907</v>
      </c>
    </row>
    <row r="89" spans="1:9" x14ac:dyDescent="0.3">
      <c r="A89" s="366"/>
      <c r="B89" s="367"/>
      <c r="C89" s="367"/>
      <c r="D89" s="367"/>
      <c r="E89" s="367"/>
      <c r="F89" s="367"/>
      <c r="G89" s="367"/>
      <c r="H89" s="367"/>
      <c r="I89" s="6"/>
    </row>
    <row r="90" spans="1:9" ht="25" x14ac:dyDescent="0.3">
      <c r="A90" s="367"/>
      <c r="B90" s="915" t="s">
        <v>90</v>
      </c>
      <c r="C90" s="211" t="s">
        <v>214</v>
      </c>
      <c r="D90" s="211" t="s">
        <v>215</v>
      </c>
      <c r="E90" s="211" t="s">
        <v>482</v>
      </c>
      <c r="F90" s="211" t="s">
        <v>483</v>
      </c>
      <c r="G90" s="368"/>
      <c r="H90" s="367"/>
      <c r="I90" s="6"/>
    </row>
    <row r="91" spans="1:9" ht="26.5" x14ac:dyDescent="0.3">
      <c r="A91" s="367"/>
      <c r="B91" s="915"/>
      <c r="C91" s="211" t="s">
        <v>216</v>
      </c>
      <c r="D91" s="211" t="s">
        <v>217</v>
      </c>
      <c r="E91" s="211" t="s">
        <v>484</v>
      </c>
      <c r="F91" s="211" t="s">
        <v>485</v>
      </c>
      <c r="G91" s="368"/>
      <c r="H91" s="367"/>
      <c r="I91" s="6"/>
    </row>
    <row r="92" spans="1:9" x14ac:dyDescent="0.3">
      <c r="A92" s="367"/>
      <c r="B92" s="369">
        <v>1990</v>
      </c>
      <c r="C92" s="364">
        <v>0</v>
      </c>
      <c r="D92" s="370">
        <v>0</v>
      </c>
      <c r="E92" s="364">
        <v>0</v>
      </c>
      <c r="F92" s="364">
        <v>0</v>
      </c>
      <c r="G92" s="371"/>
      <c r="H92" s="367"/>
      <c r="I92" s="6"/>
    </row>
    <row r="93" spans="1:9" x14ac:dyDescent="0.3">
      <c r="A93" s="367"/>
      <c r="B93" s="369">
        <v>1991</v>
      </c>
      <c r="C93" s="364">
        <v>177300</v>
      </c>
      <c r="D93" s="370">
        <v>186.20045560123452</v>
      </c>
      <c r="E93" s="364">
        <v>49.736141679330586</v>
      </c>
      <c r="F93" s="364">
        <v>136.46431392190397</v>
      </c>
      <c r="G93" s="371"/>
      <c r="H93" s="367"/>
      <c r="I93" s="6"/>
    </row>
    <row r="94" spans="1:9" x14ac:dyDescent="0.3">
      <c r="A94" s="367"/>
      <c r="B94" s="369">
        <v>1992</v>
      </c>
      <c r="C94" s="364">
        <v>349200</v>
      </c>
      <c r="D94" s="370">
        <v>365.22769949293479</v>
      </c>
      <c r="E94" s="364">
        <v>97.556241463225206</v>
      </c>
      <c r="F94" s="364">
        <v>267.67145802970958</v>
      </c>
      <c r="G94" s="371"/>
      <c r="H94" s="367"/>
      <c r="I94" s="6"/>
    </row>
    <row r="95" spans="1:9" x14ac:dyDescent="0.3">
      <c r="A95" s="367"/>
      <c r="B95" s="369">
        <v>1993</v>
      </c>
      <c r="C95" s="364">
        <v>515700</v>
      </c>
      <c r="D95" s="370">
        <v>537.13960000680959</v>
      </c>
      <c r="E95" s="364">
        <v>143.47575660464989</v>
      </c>
      <c r="F95" s="364">
        <v>393.66384340215973</v>
      </c>
      <c r="G95" s="371"/>
      <c r="H95" s="367"/>
      <c r="I95" s="6"/>
    </row>
    <row r="96" spans="1:9" x14ac:dyDescent="0.3">
      <c r="A96" s="367"/>
      <c r="B96" s="369">
        <v>1994</v>
      </c>
      <c r="C96" s="364">
        <v>676800</v>
      </c>
      <c r="D96" s="370">
        <v>701.99355863433686</v>
      </c>
      <c r="E96" s="364">
        <v>187.51001965853058</v>
      </c>
      <c r="F96" s="364">
        <v>514.48353897580625</v>
      </c>
      <c r="G96" s="371"/>
      <c r="H96" s="367"/>
      <c r="I96" s="6"/>
    </row>
    <row r="97" spans="1:9" x14ac:dyDescent="0.3">
      <c r="A97" s="367"/>
      <c r="B97" s="369">
        <v>1995</v>
      </c>
      <c r="C97" s="364">
        <v>832500</v>
      </c>
      <c r="D97" s="370">
        <v>859.84651379289483</v>
      </c>
      <c r="E97" s="364">
        <v>229.67423948772742</v>
      </c>
      <c r="F97" s="364">
        <v>630.17227430516743</v>
      </c>
      <c r="G97" s="371"/>
      <c r="H97" s="367"/>
      <c r="I97" s="6"/>
    </row>
    <row r="98" spans="1:9" x14ac:dyDescent="0.3">
      <c r="A98" s="367"/>
      <c r="B98" s="369">
        <v>1996</v>
      </c>
      <c r="C98" s="364">
        <v>982800</v>
      </c>
      <c r="D98" s="370">
        <v>1010.7549445615132</v>
      </c>
      <c r="E98" s="364">
        <v>269.98350226089377</v>
      </c>
      <c r="F98" s="364">
        <v>740.77144230061947</v>
      </c>
      <c r="G98" s="371"/>
      <c r="H98" s="367"/>
      <c r="I98" s="6"/>
    </row>
    <row r="99" spans="1:9" x14ac:dyDescent="0.3">
      <c r="A99" s="367"/>
      <c r="B99" s="369">
        <v>1997</v>
      </c>
      <c r="C99" s="364">
        <v>1127700</v>
      </c>
      <c r="D99" s="370">
        <v>1154.774874386485</v>
      </c>
      <c r="E99" s="364">
        <v>308.45277244228504</v>
      </c>
      <c r="F99" s="364">
        <v>846.32210194419997</v>
      </c>
      <c r="G99" s="371"/>
      <c r="H99" s="367"/>
      <c r="I99" s="6"/>
    </row>
    <row r="100" spans="1:9" x14ac:dyDescent="0.3">
      <c r="A100" s="367"/>
      <c r="B100" s="369">
        <v>1998</v>
      </c>
      <c r="C100" s="364">
        <v>1267200</v>
      </c>
      <c r="D100" s="370">
        <v>1291.9618747570858</v>
      </c>
      <c r="E100" s="364">
        <v>345.09689377358291</v>
      </c>
      <c r="F100" s="364">
        <v>946.86498098350285</v>
      </c>
      <c r="G100" s="371"/>
      <c r="H100" s="367"/>
      <c r="I100" s="6"/>
    </row>
    <row r="101" spans="1:9" x14ac:dyDescent="0.3">
      <c r="A101" s="367"/>
      <c r="B101" s="369">
        <v>1999</v>
      </c>
      <c r="C101" s="364">
        <v>1401300</v>
      </c>
      <c r="D101" s="370">
        <v>1422.3710688516376</v>
      </c>
      <c r="E101" s="364">
        <v>379.93059024779791</v>
      </c>
      <c r="F101" s="364">
        <v>1042.4404786038397</v>
      </c>
      <c r="G101" s="371"/>
      <c r="H101" s="367"/>
      <c r="I101" s="6"/>
    </row>
    <row r="102" spans="1:9" x14ac:dyDescent="0.3">
      <c r="A102" s="367"/>
      <c r="B102" s="369">
        <v>2000</v>
      </c>
      <c r="C102" s="364">
        <v>1530000</v>
      </c>
      <c r="D102" s="370">
        <v>1546.0571351541626</v>
      </c>
      <c r="E102" s="364">
        <v>412.96846707531665</v>
      </c>
      <c r="F102" s="364">
        <v>1133.088668078846</v>
      </c>
      <c r="G102" s="371"/>
      <c r="H102" s="367"/>
      <c r="I102" s="6"/>
    </row>
    <row r="103" spans="1:9" x14ac:dyDescent="0.3">
      <c r="A103" s="367"/>
      <c r="B103" s="369">
        <v>2001</v>
      </c>
      <c r="C103" s="364">
        <v>1653300</v>
      </c>
      <c r="D103" s="370">
        <v>1663.0743110418553</v>
      </c>
      <c r="E103" s="364">
        <v>444.22501164215413</v>
      </c>
      <c r="F103" s="364">
        <v>1218.8492993997011</v>
      </c>
      <c r="G103" s="371"/>
      <c r="H103" s="367"/>
      <c r="I103" s="6"/>
    </row>
    <row r="104" spans="1:9" x14ac:dyDescent="0.3">
      <c r="A104" s="367"/>
      <c r="B104" s="369">
        <v>2002</v>
      </c>
      <c r="C104" s="364">
        <v>1771200</v>
      </c>
      <c r="D104" s="370">
        <v>1773.4763963436189</v>
      </c>
      <c r="E104" s="364">
        <v>473.71459446047703</v>
      </c>
      <c r="F104" s="364">
        <v>1299.761801883142</v>
      </c>
      <c r="G104" s="371"/>
      <c r="H104" s="367"/>
      <c r="I104" s="6"/>
    </row>
    <row r="105" spans="1:9" x14ac:dyDescent="0.3">
      <c r="A105" s="367"/>
      <c r="B105" s="369">
        <v>2003</v>
      </c>
      <c r="C105" s="364">
        <v>1883700</v>
      </c>
      <c r="D105" s="370">
        <v>1877.3167568698896</v>
      </c>
      <c r="E105" s="364">
        <v>501.45147011145758</v>
      </c>
      <c r="F105" s="364">
        <v>1375.8652867584321</v>
      </c>
      <c r="G105" s="371"/>
      <c r="H105" s="367"/>
      <c r="I105" s="6"/>
    </row>
    <row r="106" spans="1:9" x14ac:dyDescent="0.3">
      <c r="A106" s="367"/>
      <c r="B106" s="369">
        <v>2004</v>
      </c>
      <c r="C106" s="364">
        <v>1987855.8333333333</v>
      </c>
      <c r="D106" s="370">
        <v>1971.556364153698</v>
      </c>
      <c r="E106" s="364">
        <v>526.6238814492142</v>
      </c>
      <c r="F106" s="364">
        <v>1444.9324827044841</v>
      </c>
      <c r="G106" s="371"/>
      <c r="H106" s="367"/>
      <c r="I106" s="6"/>
    </row>
    <row r="107" spans="1:9" x14ac:dyDescent="0.3">
      <c r="A107" s="367"/>
      <c r="B107" s="369">
        <v>2005</v>
      </c>
      <c r="C107" s="364">
        <v>2083667.5</v>
      </c>
      <c r="D107" s="370">
        <v>2056.2726701922525</v>
      </c>
      <c r="E107" s="364">
        <v>549.25251673411708</v>
      </c>
      <c r="F107" s="364">
        <v>1507.0201534581356</v>
      </c>
      <c r="G107" s="371"/>
      <c r="H107" s="367"/>
      <c r="I107" s="6"/>
    </row>
    <row r="108" spans="1:9" x14ac:dyDescent="0.3">
      <c r="A108" s="367"/>
      <c r="B108" s="369">
        <v>2006</v>
      </c>
      <c r="C108" s="364">
        <v>2171135</v>
      </c>
      <c r="D108" s="370">
        <v>2131.5425021555475</v>
      </c>
      <c r="E108" s="364">
        <v>569.35789732847593</v>
      </c>
      <c r="F108" s="364">
        <v>1562.1846048270718</v>
      </c>
      <c r="G108" s="371"/>
      <c r="H108" s="367"/>
      <c r="I108" s="6"/>
    </row>
    <row r="109" spans="1:9" x14ac:dyDescent="0.3">
      <c r="A109" s="367"/>
      <c r="B109" s="369">
        <v>2007</v>
      </c>
      <c r="C109" s="364">
        <v>2250258.3333333335</v>
      </c>
      <c r="D109" s="370">
        <v>2197.4420674270264</v>
      </c>
      <c r="E109" s="364">
        <v>586.96037904295588</v>
      </c>
      <c r="F109" s="364">
        <v>1610.4816883840706</v>
      </c>
      <c r="G109" s="371"/>
      <c r="H109" s="367"/>
      <c r="I109" s="6"/>
    </row>
    <row r="110" spans="1:9" x14ac:dyDescent="0.3">
      <c r="A110" s="367"/>
      <c r="B110" s="369">
        <v>2008</v>
      </c>
      <c r="C110" s="364">
        <v>2321037.5</v>
      </c>
      <c r="D110" s="370">
        <v>2254.0469586035747</v>
      </c>
      <c r="E110" s="364">
        <v>602.08015347212881</v>
      </c>
      <c r="F110" s="364">
        <v>1651.9668051314459</v>
      </c>
      <c r="G110" s="371"/>
      <c r="H110" s="367"/>
      <c r="I110" s="6"/>
    </row>
    <row r="111" spans="1:9" x14ac:dyDescent="0.3">
      <c r="A111" s="367"/>
      <c r="B111" s="369">
        <v>2009</v>
      </c>
      <c r="C111" s="364">
        <v>2383472.5</v>
      </c>
      <c r="D111" s="370">
        <v>2301.4321584551735</v>
      </c>
      <c r="E111" s="364">
        <v>614.73724931925028</v>
      </c>
      <c r="F111" s="364">
        <v>1686.6949091359231</v>
      </c>
      <c r="G111" s="371"/>
      <c r="H111" s="367"/>
      <c r="I111" s="6"/>
    </row>
    <row r="112" spans="1:9" x14ac:dyDescent="0.3">
      <c r="A112" s="367"/>
      <c r="B112" s="369">
        <v>2010</v>
      </c>
      <c r="C112" s="364">
        <v>2383472.5</v>
      </c>
      <c r="D112" s="370">
        <v>2282.8658530198636</v>
      </c>
      <c r="E112" s="364">
        <v>609.77798971588027</v>
      </c>
      <c r="F112" s="364">
        <v>1673.0878633039833</v>
      </c>
      <c r="G112" s="371"/>
      <c r="H112" s="372"/>
      <c r="I112" s="6"/>
    </row>
    <row r="113" spans="1:9" x14ac:dyDescent="0.3">
      <c r="A113" s="367"/>
      <c r="B113" s="369">
        <v>2011</v>
      </c>
      <c r="C113" s="365">
        <v>2383472.5</v>
      </c>
      <c r="D113" s="373">
        <v>2264.4493272320874</v>
      </c>
      <c r="E113" s="365">
        <v>604.85873786515708</v>
      </c>
      <c r="F113" s="365">
        <v>1659.5905893669305</v>
      </c>
      <c r="G113" s="374"/>
      <c r="H113" s="372"/>
      <c r="I113" s="6"/>
    </row>
    <row r="114" spans="1:9" x14ac:dyDescent="0.3">
      <c r="A114" s="367"/>
      <c r="B114" s="369">
        <v>2012</v>
      </c>
      <c r="C114" s="365">
        <v>2383472.5</v>
      </c>
      <c r="D114" s="373">
        <v>2246.1813727769832</v>
      </c>
      <c r="E114" s="365">
        <v>599.9791710132024</v>
      </c>
      <c r="F114" s="365">
        <v>1646.2022017637807</v>
      </c>
      <c r="G114" s="375"/>
      <c r="H114" s="372"/>
      <c r="I114" s="6"/>
    </row>
    <row r="115" spans="1:9" x14ac:dyDescent="0.3">
      <c r="A115" s="367"/>
      <c r="B115" s="369">
        <v>2013</v>
      </c>
      <c r="C115" s="365">
        <v>2383472.5</v>
      </c>
      <c r="D115" s="373">
        <v>2228.0607910875037</v>
      </c>
      <c r="E115" s="365">
        <v>595.13896900988436</v>
      </c>
      <c r="F115" s="365">
        <v>1632.9218220776195</v>
      </c>
      <c r="G115" s="375"/>
      <c r="H115" s="372"/>
      <c r="I115" s="6"/>
    </row>
    <row r="116" spans="1:9" x14ac:dyDescent="0.3">
      <c r="A116" s="367"/>
      <c r="B116" s="369">
        <v>2014</v>
      </c>
      <c r="C116" s="365">
        <v>2383472.5</v>
      </c>
      <c r="D116" s="373">
        <v>2210.0863932657858</v>
      </c>
      <c r="E116" s="365">
        <v>590.33781428781344</v>
      </c>
      <c r="F116" s="365">
        <v>1619.7485789779723</v>
      </c>
      <c r="G116" s="375"/>
      <c r="H116" s="372"/>
      <c r="I116" s="6"/>
    </row>
    <row r="117" spans="1:9" x14ac:dyDescent="0.3">
      <c r="A117" s="367"/>
      <c r="B117" s="369">
        <v>2015</v>
      </c>
      <c r="C117" s="365">
        <v>2383472.5</v>
      </c>
      <c r="D117" s="373">
        <v>2192.2570000051387</v>
      </c>
      <c r="E117" s="365">
        <v>585.57539184150585</v>
      </c>
      <c r="F117" s="365">
        <v>1606.681608163633</v>
      </c>
      <c r="G117" s="375"/>
      <c r="H117" s="372"/>
      <c r="I117" s="6"/>
    </row>
    <row r="118" spans="1:9" x14ac:dyDescent="0.3">
      <c r="A118" s="367"/>
      <c r="B118" s="369">
        <v>2016</v>
      </c>
      <c r="C118" s="365">
        <v>2383472.5</v>
      </c>
      <c r="D118" s="373">
        <v>2174.5714415126777</v>
      </c>
      <c r="E118" s="365">
        <v>580.85138920671682</v>
      </c>
      <c r="F118" s="365">
        <v>1593.7200523059607</v>
      </c>
      <c r="G118" s="375"/>
      <c r="H118" s="372"/>
      <c r="I118" s="6"/>
    </row>
    <row r="119" spans="1:9" x14ac:dyDescent="0.3">
      <c r="A119" s="367"/>
      <c r="B119" s="369">
        <v>2017</v>
      </c>
      <c r="C119" s="365">
        <v>2383472.5</v>
      </c>
      <c r="D119" s="373">
        <v>2157.0285574325626</v>
      </c>
      <c r="E119" s="365">
        <v>576.16549643993847</v>
      </c>
      <c r="F119" s="365">
        <v>1580.8630609926242</v>
      </c>
      <c r="G119" s="375"/>
      <c r="H119" s="372"/>
      <c r="I119" s="6"/>
    </row>
    <row r="120" spans="1:9" x14ac:dyDescent="0.3">
      <c r="A120" s="367"/>
      <c r="B120" s="376"/>
      <c r="C120" s="377"/>
      <c r="D120" s="378"/>
      <c r="E120" s="375"/>
      <c r="F120" s="375"/>
      <c r="G120" s="375"/>
      <c r="H120" s="372"/>
      <c r="I120" s="6"/>
    </row>
    <row r="121" spans="1:9" x14ac:dyDescent="0.3">
      <c r="A121" s="367"/>
      <c r="B121" s="376"/>
      <c r="C121" s="377"/>
      <c r="D121" s="378"/>
      <c r="E121" s="375"/>
      <c r="F121" s="375"/>
      <c r="G121" s="375"/>
      <c r="H121" s="372"/>
      <c r="I121" s="6"/>
    </row>
    <row r="122" spans="1:9" x14ac:dyDescent="0.3">
      <c r="A122" s="6"/>
      <c r="B122" s="6"/>
      <c r="C122" s="6"/>
      <c r="D122" s="6"/>
      <c r="E122" s="6"/>
      <c r="F122" s="6"/>
      <c r="G122" s="6"/>
      <c r="H122" s="6"/>
      <c r="I122" s="6"/>
    </row>
    <row r="123" spans="1:9" x14ac:dyDescent="0.3">
      <c r="A123" s="6"/>
      <c r="B123" s="6"/>
      <c r="C123" s="6"/>
      <c r="D123" s="6"/>
      <c r="E123" s="6"/>
      <c r="F123" s="6"/>
      <c r="G123" s="6"/>
      <c r="H123" s="6"/>
      <c r="I123" s="6"/>
    </row>
    <row r="124" spans="1:9" x14ac:dyDescent="0.3">
      <c r="A124" s="6"/>
      <c r="B124" s="6"/>
      <c r="C124" s="6"/>
      <c r="D124" s="6"/>
      <c r="E124" s="6"/>
      <c r="F124" s="6"/>
      <c r="G124" s="6"/>
      <c r="H124" s="6"/>
      <c r="I124" s="6"/>
    </row>
    <row r="125" spans="1:9" x14ac:dyDescent="0.3">
      <c r="A125" s="6"/>
      <c r="B125" s="6"/>
      <c r="C125" s="6"/>
      <c r="D125" s="6"/>
      <c r="E125" s="6"/>
      <c r="F125" s="6"/>
      <c r="G125" s="6"/>
      <c r="H125" s="6"/>
      <c r="I125" s="6"/>
    </row>
    <row r="126" spans="1:9" x14ac:dyDescent="0.3">
      <c r="A126" s="6"/>
      <c r="B126" s="6"/>
      <c r="C126" s="6"/>
      <c r="D126" s="6"/>
      <c r="E126" s="6"/>
      <c r="F126" s="6"/>
      <c r="G126" s="6"/>
      <c r="H126" s="6"/>
      <c r="I126" s="6"/>
    </row>
    <row r="127" spans="1:9" x14ac:dyDescent="0.3">
      <c r="A127" s="6"/>
      <c r="B127" s="6"/>
      <c r="C127" s="6"/>
      <c r="D127" s="6"/>
      <c r="E127" s="6"/>
      <c r="F127" s="6"/>
      <c r="G127" s="6"/>
      <c r="H127" s="6"/>
      <c r="I127" s="6"/>
    </row>
    <row r="128" spans="1:9" x14ac:dyDescent="0.3">
      <c r="A128" s="6"/>
      <c r="B128" s="6"/>
      <c r="C128" s="6"/>
      <c r="D128" s="6"/>
      <c r="E128" s="6"/>
      <c r="F128" s="6"/>
      <c r="G128" s="6"/>
      <c r="H128" s="6"/>
      <c r="I128" s="6"/>
    </row>
    <row r="129" spans="1:9" x14ac:dyDescent="0.3">
      <c r="A129" s="6"/>
      <c r="B129" s="6"/>
      <c r="C129" s="6"/>
      <c r="D129" s="6"/>
      <c r="E129" s="6"/>
      <c r="F129" s="6"/>
      <c r="G129" s="6"/>
      <c r="H129" s="6"/>
      <c r="I129" s="6"/>
    </row>
    <row r="130" spans="1:9" x14ac:dyDescent="0.3">
      <c r="A130" s="6"/>
      <c r="B130" s="6"/>
      <c r="C130" s="6"/>
      <c r="D130" s="6"/>
      <c r="E130" s="6"/>
      <c r="F130" s="6"/>
      <c r="G130" s="6"/>
      <c r="H130" s="6"/>
      <c r="I130" s="6"/>
    </row>
    <row r="131" spans="1:9" x14ac:dyDescent="0.3">
      <c r="A131" s="6"/>
      <c r="B131" s="6"/>
      <c r="C131" s="6"/>
      <c r="D131" s="6"/>
      <c r="E131" s="6"/>
      <c r="F131" s="6"/>
      <c r="G131" s="6"/>
      <c r="H131" s="6"/>
      <c r="I131" s="6"/>
    </row>
    <row r="132" spans="1:9" x14ac:dyDescent="0.3">
      <c r="A132" s="6"/>
      <c r="B132" s="6"/>
      <c r="C132" s="6"/>
      <c r="D132" s="6"/>
      <c r="E132" s="6"/>
      <c r="F132" s="6"/>
      <c r="G132" s="6"/>
      <c r="H132" s="6"/>
      <c r="I132" s="6"/>
    </row>
    <row r="133" spans="1:9" x14ac:dyDescent="0.3">
      <c r="A133" s="6"/>
      <c r="B133" s="6"/>
      <c r="C133" s="6"/>
      <c r="D133" s="6"/>
      <c r="E133" s="6"/>
      <c r="F133" s="6"/>
      <c r="G133" s="6"/>
      <c r="H133" s="6"/>
      <c r="I133" s="6"/>
    </row>
    <row r="134" spans="1:9" x14ac:dyDescent="0.3">
      <c r="A134" s="6"/>
      <c r="B134" s="6"/>
      <c r="C134" s="6"/>
      <c r="D134" s="6"/>
      <c r="E134" s="6"/>
      <c r="F134" s="6"/>
      <c r="G134" s="6"/>
      <c r="H134" s="6"/>
      <c r="I134" s="6"/>
    </row>
    <row r="135" spans="1:9" x14ac:dyDescent="0.3">
      <c r="A135" s="6"/>
      <c r="B135" s="6"/>
      <c r="C135" s="6"/>
      <c r="D135" s="6"/>
      <c r="E135" s="6"/>
      <c r="F135" s="6"/>
      <c r="G135" s="6"/>
      <c r="H135" s="6"/>
      <c r="I135" s="6"/>
    </row>
    <row r="136" spans="1:9" x14ac:dyDescent="0.3">
      <c r="A136" s="6"/>
      <c r="B136" s="6"/>
      <c r="C136" s="6"/>
      <c r="D136" s="6"/>
      <c r="E136" s="6"/>
      <c r="F136" s="6"/>
      <c r="G136" s="6"/>
      <c r="H136" s="6"/>
      <c r="I136" s="6"/>
    </row>
    <row r="137" spans="1:9" x14ac:dyDescent="0.3">
      <c r="A137" s="6"/>
      <c r="B137" s="6"/>
      <c r="C137" s="6"/>
      <c r="D137" s="6"/>
      <c r="E137" s="6"/>
      <c r="F137" s="6"/>
      <c r="G137" s="6"/>
      <c r="H137" s="6"/>
      <c r="I137" s="6"/>
    </row>
    <row r="138" spans="1:9" x14ac:dyDescent="0.3">
      <c r="A138" s="6"/>
      <c r="B138" s="6"/>
      <c r="C138" s="6"/>
      <c r="D138" s="6"/>
      <c r="E138" s="6"/>
      <c r="F138" s="6"/>
      <c r="G138" s="6"/>
      <c r="H138" s="6"/>
      <c r="I138" s="6"/>
    </row>
    <row r="139" spans="1:9" x14ac:dyDescent="0.3">
      <c r="A139" s="6"/>
      <c r="B139" s="6"/>
      <c r="C139" s="6"/>
      <c r="D139" s="6"/>
      <c r="E139" s="6"/>
      <c r="F139" s="6"/>
      <c r="G139" s="6"/>
      <c r="H139" s="6"/>
      <c r="I139" s="6"/>
    </row>
    <row r="140" spans="1:9" x14ac:dyDescent="0.3">
      <c r="A140" s="6"/>
      <c r="B140" s="6"/>
      <c r="C140" s="6"/>
      <c r="D140" s="6"/>
      <c r="E140" s="6"/>
      <c r="F140" s="6"/>
      <c r="G140" s="6"/>
      <c r="H140" s="6"/>
      <c r="I140" s="6"/>
    </row>
    <row r="141" spans="1:9" x14ac:dyDescent="0.3">
      <c r="A141" s="6"/>
      <c r="B141" s="6"/>
      <c r="C141" s="6"/>
      <c r="D141" s="6"/>
      <c r="E141" s="6"/>
      <c r="F141" s="6"/>
      <c r="G141" s="6"/>
      <c r="H141" s="6"/>
      <c r="I141" s="6"/>
    </row>
    <row r="142" spans="1:9" x14ac:dyDescent="0.3">
      <c r="A142" s="6"/>
      <c r="B142" s="6"/>
      <c r="C142" s="6"/>
      <c r="D142" s="6"/>
      <c r="E142" s="6"/>
      <c r="F142" s="6"/>
      <c r="G142" s="6"/>
      <c r="H142" s="6"/>
      <c r="I142" s="6"/>
    </row>
    <row r="143" spans="1:9" x14ac:dyDescent="0.3">
      <c r="A143" s="6"/>
      <c r="B143" s="6"/>
      <c r="C143" s="6"/>
      <c r="D143" s="6"/>
      <c r="E143" s="6"/>
      <c r="F143" s="6"/>
      <c r="G143" s="6"/>
      <c r="H143" s="6"/>
      <c r="I143" s="6"/>
    </row>
    <row r="144" spans="1:9" x14ac:dyDescent="0.3">
      <c r="A144" s="6"/>
      <c r="B144" s="6"/>
      <c r="C144" s="6"/>
      <c r="D144" s="6"/>
      <c r="E144" s="6"/>
      <c r="F144" s="6"/>
      <c r="G144" s="6"/>
      <c r="H144" s="6"/>
      <c r="I144" s="6"/>
    </row>
    <row r="145" spans="1:9" x14ac:dyDescent="0.3">
      <c r="A145" s="6"/>
      <c r="B145" s="6"/>
      <c r="C145" s="6"/>
      <c r="D145" s="6"/>
      <c r="E145" s="6"/>
      <c r="F145" s="6"/>
      <c r="G145" s="6"/>
      <c r="H145" s="6"/>
      <c r="I145" s="6"/>
    </row>
    <row r="146" spans="1:9" x14ac:dyDescent="0.3">
      <c r="A146" s="6"/>
      <c r="B146" s="6"/>
      <c r="C146" s="6"/>
      <c r="D146" s="6"/>
      <c r="E146" s="6"/>
      <c r="F146" s="6"/>
      <c r="G146" s="6"/>
      <c r="H146" s="6"/>
      <c r="I146" s="6"/>
    </row>
    <row r="147" spans="1:9" x14ac:dyDescent="0.3">
      <c r="A147" s="6"/>
      <c r="B147" s="6"/>
      <c r="C147" s="6"/>
      <c r="D147" s="6"/>
      <c r="E147" s="6"/>
      <c r="F147" s="6"/>
      <c r="G147" s="6"/>
      <c r="H147" s="6"/>
      <c r="I147" s="6"/>
    </row>
    <row r="148" spans="1:9" x14ac:dyDescent="0.3">
      <c r="A148" s="6"/>
      <c r="B148" s="6"/>
      <c r="C148" s="6"/>
      <c r="D148" s="6"/>
      <c r="E148" s="6"/>
      <c r="F148" s="6"/>
      <c r="G148" s="6"/>
      <c r="H148" s="6"/>
      <c r="I148" s="6"/>
    </row>
    <row r="149" spans="1:9" x14ac:dyDescent="0.3">
      <c r="A149" s="6"/>
      <c r="B149" s="6"/>
      <c r="C149" s="6"/>
      <c r="D149" s="6"/>
      <c r="E149" s="6"/>
      <c r="F149" s="6"/>
      <c r="G149" s="6"/>
      <c r="H149" s="6"/>
      <c r="I149" s="6"/>
    </row>
    <row r="150" spans="1:9" x14ac:dyDescent="0.3">
      <c r="A150" s="6"/>
      <c r="B150" s="6"/>
      <c r="C150" s="6"/>
      <c r="D150" s="6"/>
      <c r="E150" s="6"/>
      <c r="F150" s="6"/>
      <c r="G150" s="6"/>
      <c r="H150" s="6"/>
      <c r="I150" s="6"/>
    </row>
    <row r="151" spans="1:9" x14ac:dyDescent="0.3">
      <c r="A151" s="6"/>
      <c r="B151" s="6"/>
      <c r="C151" s="6"/>
      <c r="D151" s="6"/>
      <c r="E151" s="6"/>
      <c r="F151" s="6"/>
      <c r="G151" s="6"/>
      <c r="H151" s="6"/>
      <c r="I151" s="6"/>
    </row>
    <row r="152" spans="1:9" x14ac:dyDescent="0.3">
      <c r="A152" s="6"/>
      <c r="B152" s="6"/>
      <c r="C152" s="6"/>
      <c r="D152" s="6"/>
      <c r="E152" s="6"/>
      <c r="F152" s="6"/>
      <c r="G152" s="6"/>
      <c r="H152" s="6"/>
      <c r="I152" s="6"/>
    </row>
    <row r="153" spans="1:9" x14ac:dyDescent="0.3">
      <c r="A153" s="6"/>
      <c r="B153" s="6"/>
      <c r="C153" s="6"/>
      <c r="D153" s="6"/>
      <c r="E153" s="6"/>
      <c r="F153" s="6"/>
      <c r="G153" s="6"/>
      <c r="H153" s="6"/>
      <c r="I153" s="6"/>
    </row>
    <row r="154" spans="1:9" x14ac:dyDescent="0.3">
      <c r="A154" s="6"/>
      <c r="B154" s="6"/>
      <c r="C154" s="6"/>
      <c r="D154" s="6"/>
      <c r="E154" s="6"/>
      <c r="F154" s="6"/>
      <c r="G154" s="6"/>
      <c r="H154" s="6"/>
      <c r="I154" s="6"/>
    </row>
    <row r="155" spans="1:9" x14ac:dyDescent="0.3">
      <c r="A155" s="6"/>
      <c r="B155" s="6"/>
      <c r="C155" s="6"/>
      <c r="D155" s="6"/>
      <c r="E155" s="6"/>
      <c r="F155" s="6"/>
      <c r="G155" s="6"/>
      <c r="H155" s="6"/>
      <c r="I155" s="6"/>
    </row>
    <row r="156" spans="1:9" x14ac:dyDescent="0.3">
      <c r="A156" s="6"/>
      <c r="B156" s="6"/>
      <c r="C156" s="6"/>
      <c r="D156" s="6"/>
      <c r="E156" s="6"/>
      <c r="F156" s="6"/>
      <c r="G156" s="6"/>
      <c r="H156" s="6"/>
      <c r="I156" s="6"/>
    </row>
    <row r="157" spans="1:9" x14ac:dyDescent="0.3">
      <c r="A157" s="6"/>
      <c r="B157" s="6"/>
      <c r="C157" s="6"/>
      <c r="D157" s="6"/>
      <c r="E157" s="6"/>
      <c r="F157" s="6"/>
      <c r="G157" s="6"/>
      <c r="H157" s="6"/>
      <c r="I157" s="6"/>
    </row>
    <row r="158" spans="1:9" x14ac:dyDescent="0.3">
      <c r="A158" s="6"/>
      <c r="B158" s="6"/>
      <c r="C158" s="6"/>
      <c r="D158" s="6"/>
      <c r="E158" s="6"/>
      <c r="F158" s="6"/>
      <c r="G158" s="6"/>
      <c r="H158" s="6"/>
      <c r="I158" s="6"/>
    </row>
    <row r="159" spans="1:9" x14ac:dyDescent="0.3">
      <c r="A159" s="6"/>
      <c r="B159" s="6"/>
      <c r="C159" s="6"/>
      <c r="D159" s="6"/>
      <c r="E159" s="6"/>
      <c r="F159" s="6"/>
      <c r="G159" s="6"/>
      <c r="H159" s="6"/>
      <c r="I159" s="6"/>
    </row>
    <row r="160" spans="1:9" x14ac:dyDescent="0.3">
      <c r="A160" s="6"/>
      <c r="B160" s="6"/>
      <c r="C160" s="6"/>
      <c r="D160" s="6"/>
      <c r="E160" s="6"/>
      <c r="F160" s="6"/>
      <c r="G160" s="6"/>
      <c r="H160" s="6"/>
      <c r="I160" s="6"/>
    </row>
    <row r="161" spans="1:9" x14ac:dyDescent="0.3">
      <c r="A161" s="6"/>
      <c r="B161" s="6"/>
      <c r="C161" s="6"/>
      <c r="D161" s="6"/>
      <c r="E161" s="6"/>
      <c r="F161" s="6"/>
      <c r="G161" s="6"/>
      <c r="H161" s="6"/>
      <c r="I161" s="6"/>
    </row>
    <row r="162" spans="1:9" x14ac:dyDescent="0.3">
      <c r="A162" s="6"/>
      <c r="B162" s="6"/>
      <c r="C162" s="6"/>
      <c r="D162" s="6"/>
      <c r="E162" s="6"/>
      <c r="F162" s="6"/>
      <c r="G162" s="6"/>
      <c r="H162" s="6"/>
      <c r="I162" s="6"/>
    </row>
    <row r="163" spans="1:9" x14ac:dyDescent="0.3">
      <c r="A163" s="6"/>
      <c r="B163" s="6"/>
      <c r="C163" s="6"/>
      <c r="D163" s="6"/>
      <c r="E163" s="6"/>
      <c r="F163" s="6"/>
      <c r="G163" s="6"/>
      <c r="H163" s="6"/>
      <c r="I163" s="6"/>
    </row>
    <row r="164" spans="1:9" x14ac:dyDescent="0.3">
      <c r="A164" s="6"/>
      <c r="B164" s="6"/>
      <c r="C164" s="6"/>
      <c r="D164" s="6"/>
      <c r="E164" s="6"/>
      <c r="F164" s="6"/>
      <c r="G164" s="6"/>
      <c r="H164" s="6"/>
      <c r="I164" s="6"/>
    </row>
    <row r="165" spans="1:9" x14ac:dyDescent="0.3">
      <c r="A165" s="6"/>
      <c r="B165" s="6"/>
      <c r="C165" s="6"/>
      <c r="D165" s="6"/>
      <c r="E165" s="6"/>
      <c r="F165" s="6"/>
      <c r="G165" s="6"/>
      <c r="H165" s="6"/>
      <c r="I165" s="6"/>
    </row>
    <row r="166" spans="1:9" x14ac:dyDescent="0.3">
      <c r="A166" s="6"/>
      <c r="B166" s="6"/>
      <c r="C166" s="6"/>
      <c r="D166" s="6"/>
      <c r="E166" s="6"/>
      <c r="F166" s="6"/>
      <c r="G166" s="6"/>
      <c r="H166" s="6"/>
      <c r="I166" s="6"/>
    </row>
    <row r="167" spans="1:9" x14ac:dyDescent="0.3">
      <c r="A167" s="6"/>
      <c r="B167" s="6"/>
      <c r="C167" s="6"/>
      <c r="D167" s="6"/>
      <c r="E167" s="6"/>
      <c r="F167" s="6"/>
      <c r="G167" s="6"/>
      <c r="H167" s="6"/>
      <c r="I167" s="6"/>
    </row>
    <row r="168" spans="1:9" x14ac:dyDescent="0.3">
      <c r="A168" s="6"/>
      <c r="B168" s="6"/>
      <c r="C168" s="6"/>
      <c r="D168" s="6"/>
      <c r="E168" s="6"/>
      <c r="F168" s="6"/>
      <c r="G168" s="6"/>
      <c r="H168" s="6"/>
      <c r="I168" s="6"/>
    </row>
    <row r="169" spans="1:9" x14ac:dyDescent="0.3">
      <c r="A169" s="6"/>
      <c r="B169" s="6"/>
      <c r="C169" s="6"/>
      <c r="D169" s="6"/>
      <c r="E169" s="6"/>
      <c r="F169" s="6"/>
      <c r="G169" s="6"/>
      <c r="H169" s="6"/>
      <c r="I169" s="6"/>
    </row>
    <row r="170" spans="1:9" x14ac:dyDescent="0.3">
      <c r="A170" s="6"/>
      <c r="B170" s="6"/>
      <c r="C170" s="6"/>
      <c r="D170" s="6"/>
      <c r="E170" s="6"/>
      <c r="F170" s="6"/>
      <c r="G170" s="6"/>
      <c r="H170" s="6"/>
      <c r="I170" s="6"/>
    </row>
    <row r="171" spans="1:9" x14ac:dyDescent="0.3">
      <c r="A171" s="6"/>
      <c r="B171" s="6"/>
      <c r="C171" s="6"/>
      <c r="D171" s="6"/>
      <c r="E171" s="6"/>
      <c r="F171" s="6"/>
      <c r="G171" s="6"/>
      <c r="H171" s="6"/>
      <c r="I171" s="6"/>
    </row>
    <row r="172" spans="1:9" x14ac:dyDescent="0.3">
      <c r="A172" s="6"/>
      <c r="B172" s="6"/>
      <c r="C172" s="6"/>
      <c r="D172" s="6"/>
      <c r="E172" s="6"/>
      <c r="F172" s="6"/>
      <c r="G172" s="6"/>
      <c r="H172" s="6"/>
      <c r="I172" s="6"/>
    </row>
    <row r="173" spans="1:9" x14ac:dyDescent="0.3">
      <c r="A173" s="6"/>
      <c r="B173" s="6"/>
      <c r="C173" s="6"/>
      <c r="D173" s="6"/>
      <c r="E173" s="6"/>
      <c r="F173" s="6"/>
      <c r="G173" s="6"/>
      <c r="H173" s="6"/>
      <c r="I173" s="6"/>
    </row>
    <row r="174" spans="1:9" x14ac:dyDescent="0.3">
      <c r="A174" s="6"/>
      <c r="B174" s="6"/>
      <c r="C174" s="6"/>
      <c r="D174" s="6"/>
      <c r="E174" s="6"/>
      <c r="F174" s="6"/>
      <c r="G174" s="6"/>
      <c r="H174" s="6"/>
      <c r="I174" s="6"/>
    </row>
    <row r="175" spans="1:9" x14ac:dyDescent="0.3">
      <c r="A175" s="6"/>
      <c r="B175" s="6"/>
      <c r="C175" s="6"/>
      <c r="D175" s="6"/>
      <c r="E175" s="6"/>
      <c r="F175" s="6"/>
      <c r="G175" s="6"/>
      <c r="H175" s="6"/>
      <c r="I175" s="6"/>
    </row>
    <row r="176" spans="1:9" x14ac:dyDescent="0.3">
      <c r="A176" s="6"/>
      <c r="B176" s="6"/>
      <c r="C176" s="6"/>
      <c r="D176" s="6"/>
      <c r="E176" s="6"/>
      <c r="F176" s="6"/>
      <c r="G176" s="6"/>
      <c r="H176" s="6"/>
      <c r="I176" s="6"/>
    </row>
    <row r="177" spans="1:9" x14ac:dyDescent="0.3">
      <c r="A177" s="6"/>
      <c r="B177" s="6"/>
      <c r="C177" s="6"/>
      <c r="D177" s="6"/>
      <c r="E177" s="6"/>
      <c r="F177" s="6"/>
      <c r="G177" s="6"/>
      <c r="H177" s="6"/>
      <c r="I177" s="6"/>
    </row>
  </sheetData>
  <sheetProtection algorithmName="SHA-512" hashValue="2YLw9N6kkUqRh3UI+euwUNv7owrCR/PE1886V+t1Gli7vq/jVnadDi1P3X5hTx8YKxqBmcUVFsYBrhFj+NNmEw==" saltValue="+1u4aqNqyWsCcI6GEnMG6A==" spinCount="100000" sheet="1" objects="1" scenarios="1"/>
  <protectedRanges>
    <protectedRange algorithmName="SHA-512" hashValue="LnV+TRJQ56GcdlBen6peMwxeUY3Jx+fTfUYvC0cbIlDKEB/sL3CnQ6GmF/bfknn9DZYJleGsDV07GfWzGpicPg==" saltValue="TXZo5+SaGFvKOs/zFRfFgA==" spinCount="100000" sqref="A1:XFD1048576" name="Plage1"/>
  </protectedRanges>
  <mergeCells count="6">
    <mergeCell ref="B90:B91"/>
    <mergeCell ref="A53:B53"/>
    <mergeCell ref="A14:A15"/>
    <mergeCell ref="D14:D15"/>
    <mergeCell ref="B15:C15"/>
    <mergeCell ref="A45:A46"/>
  </mergeCells>
  <hyperlinks>
    <hyperlink ref="A74" r:id="rId1"/>
    <hyperlink ref="A78" r:id="rId2"/>
    <hyperlink ref="A76" r:id="rId3"/>
  </hyperlinks>
  <pageMargins left="0.78740157499999996" right="0.78740157499999996" top="0.984251969" bottom="0.984251969" header="0.5" footer="0.5"/>
  <pageSetup scale="67" orientation="landscape" r:id="rId4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15</vt:i4>
      </vt:variant>
      <vt:variant>
        <vt:lpstr>Plages nommées</vt:lpstr>
      </vt:variant>
      <vt:variant>
        <vt:i4>25</vt:i4>
      </vt:variant>
    </vt:vector>
  </HeadingPairs>
  <TitlesOfParts>
    <vt:vector size="40" baseType="lpstr">
      <vt:lpstr>INTRO</vt:lpstr>
      <vt:lpstr>Sommaire</vt:lpstr>
      <vt:lpstr>GES COLLECTIFS</vt:lpstr>
      <vt:lpstr>Résidentiel</vt:lpstr>
      <vt:lpstr>CI</vt:lpstr>
      <vt:lpstr>Industriel</vt:lpstr>
      <vt:lpstr>Transports - routier</vt:lpstr>
      <vt:lpstr>Transports - hors route</vt:lpstr>
      <vt:lpstr>Matières résiduelles - DMS</vt:lpstr>
      <vt:lpstr>Agricole</vt:lpstr>
      <vt:lpstr>Eaux usées</vt:lpstr>
      <vt:lpstr>Halocarbures et al</vt:lpstr>
      <vt:lpstr>Coefficients d'émissions</vt:lpstr>
      <vt:lpstr>PRP</vt:lpstr>
      <vt:lpstr>RIN-2017</vt:lpstr>
      <vt:lpstr>dieselch4</vt:lpstr>
      <vt:lpstr>dieselco2</vt:lpstr>
      <vt:lpstr>dieseln2o</vt:lpstr>
      <vt:lpstr>electch4</vt:lpstr>
      <vt:lpstr>electco2</vt:lpstr>
      <vt:lpstr>electn2o</vt:lpstr>
      <vt:lpstr>listevéhicule</vt:lpstr>
      <vt:lpstr>natgasch4</vt:lpstr>
      <vt:lpstr>natgasco2</vt:lpstr>
      <vt:lpstr>natgasn2o</vt:lpstr>
      <vt:lpstr>natgasnch4</vt:lpstr>
      <vt:lpstr>oil6ch4</vt:lpstr>
      <vt:lpstr>oil6co2</vt:lpstr>
      <vt:lpstr>oilch4</vt:lpstr>
      <vt:lpstr>oilco2</vt:lpstr>
      <vt:lpstr>oiln2o</vt:lpstr>
      <vt:lpstr>propanech4</vt:lpstr>
      <vt:lpstr>propaneco2</vt:lpstr>
      <vt:lpstr>propanen2o</vt:lpstr>
      <vt:lpstr>PRPCH4</vt:lpstr>
      <vt:lpstr>PRPN2O</vt:lpstr>
      <vt:lpstr>'Coefficients d''émissions'!Zone_d_impression</vt:lpstr>
      <vt:lpstr>'GES COLLECTIFS'!Zone_d_impression</vt:lpstr>
      <vt:lpstr>'Matières résiduelles - DMS'!Zone_d_impression</vt:lpstr>
      <vt:lpstr>Résidentiel!Zone_d_impression</vt:lpstr>
    </vt:vector>
  </TitlesOfParts>
  <Company>ICLEI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Megan Jamieson</dc:creator>
  <cp:lastModifiedBy>Dumont-Bourget, Marie-Claude</cp:lastModifiedBy>
  <cp:lastPrinted>2012-01-30T18:39:33Z</cp:lastPrinted>
  <dcterms:created xsi:type="dcterms:W3CDTF">2003-03-31T18:49:02Z</dcterms:created>
  <dcterms:modified xsi:type="dcterms:W3CDTF">2020-06-15T14:17:12Z</dcterms:modified>
</cp:coreProperties>
</file>